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queryTables/queryTable1.xml" ContentType="application/vnd.openxmlformats-officedocument.spreadsheetml.query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/>
  <bookViews>
    <workbookView xWindow="-120" yWindow="-120" windowWidth="20730" windowHeight="11160" tabRatio="946" firstSheet="4" activeTab="4"/>
  </bookViews>
  <sheets>
    <sheet name="PUSH (2)" sheetId="51" state="veryHidden" r:id="rId1"/>
    <sheet name="Лист3" sheetId="43" state="veryHidden" r:id="rId2"/>
    <sheet name="Лист2" sheetId="52" state="veryHidden" r:id="rId3"/>
    <sheet name="PUSH" sheetId="50" state="veryHidden" r:id="rId4"/>
    <sheet name="Free-Серия" sheetId="15" r:id="rId5"/>
    <sheet name="FreeFlap" sheetId="49" r:id="rId6"/>
    <sheet name="FreeFlapH1.5" sheetId="48" r:id="rId7"/>
    <sheet name="Курс Евро" sheetId="32" r:id="rId8"/>
    <sheet name="Настройки цен" sheetId="39" state="hidden" r:id="rId9"/>
    <sheet name="Ценообразование" sheetId="40" state="hidden" r:id="rId10"/>
    <sheet name="Цены" sheetId="23" state="veryHidden" r:id="rId11"/>
    <sheet name="Мех" sheetId="14" state="veryHidden" r:id="rId12"/>
    <sheet name="Таб_Вес" sheetId="7" state="veryHidden" r:id="rId13"/>
    <sheet name="СправАссорт" sheetId="27" state="veryHidden" r:id="rId14"/>
    <sheet name="Справ" sheetId="25" state="veryHidden" r:id="rId15"/>
    <sheet name="КВ" sheetId="29" state="veryHidden" r:id="rId16"/>
    <sheet name="Лист1" sheetId="30" state="veryHidden" r:id="rId17"/>
    <sheet name="Настройки" sheetId="31" state="veryHidden" r:id="rId18"/>
    <sheet name="Карта" sheetId="28" state="veryHidden" r:id="rId19"/>
    <sheet name="ПМ" sheetId="41" state="veryHidden" r:id="rId20"/>
    <sheet name="Петли" sheetId="35" state="veryHidden" r:id="rId21"/>
    <sheet name="Присадки" sheetId="33" state="veryHidden" r:id="rId22"/>
    <sheet name="Версия" sheetId="34" state="veryHidden" r:id="rId23"/>
    <sheet name="Комментарий" sheetId="38" state="veryHidden" r:id="rId24"/>
  </sheets>
  <definedNames>
    <definedName name="_23" localSheetId="15">КВ!$A$2:$A$146</definedName>
    <definedName name="_xlnm._FilterDatabase" localSheetId="3" hidden="1">PUSH!$E$81:$M$147</definedName>
    <definedName name="_xlnm._FilterDatabase" localSheetId="11" hidden="1">Мех!#REF!</definedName>
    <definedName name="_xlnm._FilterDatabase" localSheetId="19" hidden="1">ПМ!$A$79:$F$111</definedName>
    <definedName name="DUO_Forte_PUSH">#REF!</definedName>
    <definedName name="DUO_Forte_Доп_Магнит">#REF!</definedName>
    <definedName name="DUO_Forte_Петли_PUSH">#REF!</definedName>
    <definedName name="DUO_Forte_Сопряж_Магнита">#REF!</definedName>
    <definedName name="DUO_Forte_Тип_Магнита">#REF!</definedName>
    <definedName name="DUO_Standart_PUSH">#REF!</definedName>
    <definedName name="DUO_Standart_Арт_110">Мех!$E$307:$E$314</definedName>
    <definedName name="DUO_Standart_Арт_75">Мех!$E$323:$E$330</definedName>
    <definedName name="DUO_Standart_Арт_90">Мех!$E$315:$E$322</definedName>
    <definedName name="DUO_Standart_Доп_Магнит">#REF!</definedName>
    <definedName name="DUO_Standart_Итого_110">Мех!$C$307:$C$314</definedName>
    <definedName name="DUO_Standart_Итого_75">Мех!$C$323:$C$330</definedName>
    <definedName name="DUO_Standart_Итого_90">Мех!$C$315:$C$322</definedName>
    <definedName name="DUO_Standart_Кол_во_110">Мех!$G$307:$G$314</definedName>
    <definedName name="DUO_Standart_Кол_во_75">Мех!$G$323:$G$330</definedName>
    <definedName name="DUO_Standart_Кол_во_90">Мех!$G$315:$G$322</definedName>
    <definedName name="DUO_Standart_Колво_110_1">Мех!$A$307:$A$314</definedName>
    <definedName name="DUO_Standart_Колво_110_2">Мех!$B$307:$B$314</definedName>
    <definedName name="DUO_Standart_Колво_75_1">Мех!$A$323:$A$330</definedName>
    <definedName name="DUO_Standart_Колво_75_2">Мех!$B$323:$B$330</definedName>
    <definedName name="DUO_Standart_Колво_90_1">Мех!$A$315:$A$322</definedName>
    <definedName name="DUO_Standart_Колво_90_2">Мех!$B$315:$B$322</definedName>
    <definedName name="DUO_Standart_Петли_PUSH">#REF!</definedName>
    <definedName name="DUO_Standart_Сопряж_Магнита">#REF!</definedName>
    <definedName name="DUO_Standart_Тип_Магнита">#REF!</definedName>
    <definedName name="DUOF_Standart_Арт_110">Мех!$E$335:$E$346</definedName>
    <definedName name="DUOF_Standart_Арт_75">Мех!$E$359:$E$370</definedName>
    <definedName name="DUOF_Standart_Арт_90">Мех!$E$347:$E$358</definedName>
    <definedName name="DUOF_Standart_Итого_110">Мех!$C$335:$C$346</definedName>
    <definedName name="DUOF_Standart_Итого_75">Мех!$C$359:$C$370</definedName>
    <definedName name="DUOF_Standart_Итого_90">Мех!$C$347:$C$358</definedName>
    <definedName name="DUOFIndex110">#REF!</definedName>
    <definedName name="DUOFIndex75">#REF!</definedName>
    <definedName name="DUOFIndex90">#REF!</definedName>
    <definedName name="DUOFАмортизатор">#REF!</definedName>
    <definedName name="DUOFВес">#REF!</definedName>
    <definedName name="DUOFВысота">#REF!</definedName>
    <definedName name="DUOFМатериал">#REF!</definedName>
    <definedName name="DUOFПетлиДоводка">#REF!</definedName>
    <definedName name="DUOFПетлиНетДоводки">#REF!</definedName>
    <definedName name="DUOFТолщина">#REF!</definedName>
    <definedName name="DUOFУгол">#REF!</definedName>
    <definedName name="DUOFШирина">#REF!</definedName>
    <definedName name="DUOSIndex110">#REF!</definedName>
    <definedName name="DUOSIndex75">#REF!</definedName>
    <definedName name="DUOSIndex90">#REF!</definedName>
    <definedName name="DUOSУгол">#REF!</definedName>
    <definedName name="DUOАмортизатор">#REF!</definedName>
    <definedName name="DUOВес">#REF!</definedName>
    <definedName name="DUOВысота">#REF!</definedName>
    <definedName name="DUOМатериал">#REF!</definedName>
    <definedName name="DUOПетлиДоводка">#REF!</definedName>
    <definedName name="DUOПетлиНетДоводки">#REF!</definedName>
    <definedName name="DUOТолщина">#REF!</definedName>
    <definedName name="DUOШирина">#REF!</definedName>
    <definedName name="FF17АдаптерАлм">FreeFlap!$M$13</definedName>
    <definedName name="FF17ОграничительУгла">FreeFlap!$M$11</definedName>
    <definedName name="FF315АдаптерАлм">FreeFlap!$M$40</definedName>
    <definedName name="FFD_Арт">Мех!$E$5:$F$20</definedName>
    <definedName name="FFD_Колво">Мех!$A$5:$A$20</definedName>
    <definedName name="FFDIndex">'Free-Серия'!$C$17</definedName>
    <definedName name="FFDKey">Мех!$C$5:$C$20</definedName>
    <definedName name="FFD№">Мех!$D$5:$D$20</definedName>
    <definedName name="FFDВес">'Free-Серия'!$M$5</definedName>
    <definedName name="FFDВеСдо">Мех!$I$5:$I$20</definedName>
    <definedName name="FFDВеСот">Мех!$H$5:$H$20</definedName>
    <definedName name="FFDВыСдо">Мех!$M$5:$M$20</definedName>
    <definedName name="FFDВыСот">Мех!$L$5:$L$20</definedName>
    <definedName name="FFDВысота">'Free-Серия'!$I$5</definedName>
    <definedName name="FFDМатериал">'Free-Серия'!$G$3</definedName>
    <definedName name="FFDмеханизм">Мех!$N$5:$N$20</definedName>
    <definedName name="FFDПММ">Мех!$O$5:$O$20</definedName>
    <definedName name="FFDТолщина">'Free-Серия'!$M$3</definedName>
    <definedName name="FFDЦвет">'Free-Серия'!$M$7</definedName>
    <definedName name="FFGШирина">'Free-Серия'!$I$3</definedName>
    <definedName name="FFHL15Цвет">FreeFlapH1.5!$M$7</definedName>
    <definedName name="FFL17_PUSH_Тип_Толкателя">PUSH!$G$4:$G$77</definedName>
    <definedName name="FFL17_PUSH_Толкатель">PUSH!$B$4:$B$77</definedName>
    <definedName name="FFL17_Арт">Мех!$E$24:$F$42</definedName>
    <definedName name="FFL17_Колво">Мех!$A$24:$A$42</definedName>
    <definedName name="FFL17Index">FreeFlap!$C$19</definedName>
    <definedName name="FFL17Key">Мех!$B$24:$B$42</definedName>
    <definedName name="FFL17№">Мех!$D$24:$D$42</definedName>
    <definedName name="FFL17ВеСдо">Мех!$I$24:$I$42</definedName>
    <definedName name="FFL17ВеСот">Мех!$H$24:$H$42</definedName>
    <definedName name="FFL17ВыСдо">Мех!$M$24:$M$42</definedName>
    <definedName name="FFL17ВыСот">Мех!$L$24:$L$42</definedName>
    <definedName name="FFL17механизм">Мех!$N$24:$N$42</definedName>
    <definedName name="FFL17Цвет">FreeFlap!$M$9</definedName>
    <definedName name="FFL315_PUSH_Толкатель">PUSH!$B$82:$B$147</definedName>
    <definedName name="FFL315_Арт">Мех!$E$46:$F$74</definedName>
    <definedName name="FFL315_Колво">Мех!$A$46:$A$74</definedName>
    <definedName name="FFL315Index">FreeFlap!$C$46</definedName>
    <definedName name="FFL315Key">Мех!$B$46:$B$74</definedName>
    <definedName name="FFL315№">Мех!$D$46:$D$74</definedName>
    <definedName name="FFL315ВеСдо">Мех!$I$46:$I$74</definedName>
    <definedName name="FFL315ВеСот">Мех!$H$46:$H$74</definedName>
    <definedName name="FFL315ВыСдо">Мех!$M$46:$M$74</definedName>
    <definedName name="FFL315ВыСот">Мех!$L$46:$L$74</definedName>
    <definedName name="FFL315механизм">Мех!$N$46:$N$74</definedName>
    <definedName name="FFL315Цвет">FreeFlap!$M$38</definedName>
    <definedName name="FFLH15_Арт_110">Мех!$E$130:$F$154</definedName>
    <definedName name="FFLH15_Арт_75">Мех!$E$180:$F$198</definedName>
    <definedName name="FFLH15_Арт_90">Мех!$E$155:$F$179</definedName>
    <definedName name="FFLH15_Итого_110">Мех!$C$130:$C$154</definedName>
    <definedName name="FFLH15_Итого_75">Мех!$C$180:$C$198</definedName>
    <definedName name="FFLH15_Итого_90">Мех!$C$155:$C$179</definedName>
    <definedName name="FFLH15_Кол_во_110">Мех!$G$130:$G$154</definedName>
    <definedName name="FFLH15_Кол_во_75">Мех!$G$180:$G$198</definedName>
    <definedName name="FFLH15_Кол_во_90">Мех!$G$155:$G$179</definedName>
    <definedName name="FFLH15_Колво_110_1">Мех!$A$130:$A$154</definedName>
    <definedName name="FFLH15_Колво_110_2">Мех!$B$130:$B$154</definedName>
    <definedName name="FFLH15_Колво_75_1">Мех!$A$180:$A$198</definedName>
    <definedName name="FFLH15_Колво_75_2">Мех!$B$180:$B$198</definedName>
    <definedName name="FFLH15_Колво_90_1">Мех!$A$155:$A$179</definedName>
    <definedName name="FFLH15_Колво_90_2">Мех!$B$155:$B$179</definedName>
    <definedName name="FFLH15Index110">FreeFlapH1.5!$A$23</definedName>
    <definedName name="FFLH15Index75">FreeFlapH1.5!$A$25</definedName>
    <definedName name="FFLH15Index90">FreeFlapH1.5!$A$24</definedName>
    <definedName name="FFLH15№">Мех!$D$130:$D$198</definedName>
    <definedName name="FFLH15Амортизатор">FreeFlapH1.5!$M$15</definedName>
    <definedName name="FFLH15ВеСдо">Мех!$I$130:$I$198</definedName>
    <definedName name="FFLH15ВеСдо2">Мех!$K$130:$K$198</definedName>
    <definedName name="FFLH15ВеСот">Мех!$H$130:$H$198</definedName>
    <definedName name="FFLH15ВеСот2">Мех!$J$130:$J$198</definedName>
    <definedName name="FFLH15Винт">FreeFlapH1.5!$M$17</definedName>
    <definedName name="FFLH15ВыСдо">Мех!$M$130:$M$198</definedName>
    <definedName name="FFLH15ВыСот">Мех!$L$130:$L$198</definedName>
    <definedName name="FFLH15КолвоM">Мех!$G$130:$G$198</definedName>
    <definedName name="FFLH15Маркер1">Мех!$A$130:$A$198</definedName>
    <definedName name="FFLH15Маркер2">Мех!$B$130:$B$198</definedName>
    <definedName name="FFLH15механизм">Мех!$N$130:$N$198</definedName>
    <definedName name="FFLH15ПетлиДоводка">FreeFlapH1.5!$M$11</definedName>
    <definedName name="FFLH15ПетлиНетДоводки">FreeFlapH1.5!$M$13</definedName>
    <definedName name="FFLH15Угол">FreeFlapH1.5!$M$9</definedName>
    <definedName name="FFLH15Цвет">FreeFlapH1.5!$M$7</definedName>
    <definedName name="FFP17Вес">FreeFlap!$M$5</definedName>
    <definedName name="FFP17Высота">FreeFlap!$I$5</definedName>
    <definedName name="FFP17Материал">FreeFlap!$G$3</definedName>
    <definedName name="FFP17Толщина">FreeFlap!$M$3</definedName>
    <definedName name="FFP17Ширина">FreeFlap!$I$3</definedName>
    <definedName name="FFP315Вес">FreeFlap!$M$34</definedName>
    <definedName name="FFP315Высота">FreeFlap!$I$34</definedName>
    <definedName name="FFP315Материал">FreeFlap!$G$32</definedName>
    <definedName name="FFP315Толщина">FreeFlap!$M$32</definedName>
    <definedName name="FFP315Ширина">FreeFlap!$I$32</definedName>
    <definedName name="FFPH15Вес">FreeFlapH1.5!$M$5</definedName>
    <definedName name="FFPH15Высота">FreeFlapH1.5!$I$5</definedName>
    <definedName name="FFPH15Материал">FreeFlapH1.5!$G$3</definedName>
    <definedName name="FFPH15Толщина">FreeFlapH1.5!$M$3</definedName>
    <definedName name="FFPH15Ширина">FreeFlapH1.5!$I$3</definedName>
    <definedName name="FFНастройкиВысота">Справ!$J$4</definedName>
    <definedName name="FFНастройкиШирина">Справ!$J$5</definedName>
    <definedName name="FlagYN">Таб_Вес!$AC$25:$AC$26</definedName>
    <definedName name="FLL1_PUSH">FreeFlap!$K$36</definedName>
    <definedName name="FLL17_PUSH">FreeFlap!$K$7</definedName>
    <definedName name="FLL17_Толкатель">FreeFlap!$K$15</definedName>
    <definedName name="FLL315_PUSH">FreeFlap!$K$36</definedName>
    <definedName name="FLL315_Толкатель">FreeFlap!$K$42</definedName>
    <definedName name="FS_Арт">Мех!$E$78:$F$114</definedName>
    <definedName name="FS_Колво">Мех!$A$78:$A$114</definedName>
    <definedName name="FSIndex">'Free-Серия'!$C$41</definedName>
    <definedName name="FS№">Мех!$D$78:$D$114</definedName>
    <definedName name="FSВес">'Free-Серия'!$M$33</definedName>
    <definedName name="FSВесKey">Мех!$B$78:$B$114</definedName>
    <definedName name="FSВеСдо">Мех!$I$78:$I$114</definedName>
    <definedName name="FSВеСот">Мех!$H$78:$H$114</definedName>
    <definedName name="FSВыСдо">Мех!$M$78:$M$114</definedName>
    <definedName name="FSВыСот">Мех!$L$78:$L$114</definedName>
    <definedName name="FSВысота">'Free-Серия'!$I$33</definedName>
    <definedName name="FSМатериал">'Free-Серия'!$G$31</definedName>
    <definedName name="FSмеханизм">Мех!$N$78:$N$114</definedName>
    <definedName name="FSТолщина">'Free-Серия'!$M$31</definedName>
    <definedName name="FSЦвет">'Free-Серия'!$M$35</definedName>
    <definedName name="FSШирина">'Free-Серия'!$I$31</definedName>
    <definedName name="FU_Арт">Мех!$E$118:$F$124</definedName>
    <definedName name="FU_Колво">Мех!$A$118:$A$124</definedName>
    <definedName name="FUIndex">'Free-Серия'!$C$65</definedName>
    <definedName name="FUKey">Мех!$C$118:$C$124</definedName>
    <definedName name="FU№">Мех!$D$118:$D$124</definedName>
    <definedName name="FUВес">'Free-Серия'!$M$55</definedName>
    <definedName name="FUВеСдо">Мех!$I$118:$I$124</definedName>
    <definedName name="FUВеСот">Мех!$H$118:$H$124</definedName>
    <definedName name="FUВыСдо">Мех!$M$118:$M$124</definedName>
    <definedName name="FUВыСот">Мех!$L$118:$L$124</definedName>
    <definedName name="FUВысота">'Free-Серия'!$I$55</definedName>
    <definedName name="FUМатериал">'Free-Серия'!$G$53</definedName>
    <definedName name="FUмеханизм">Мех!$N$118:$N$124</definedName>
    <definedName name="FUТолщина">'Free-Серия'!$M$53</definedName>
    <definedName name="FUЦвет">'Free-Серия'!$M$57</definedName>
    <definedName name="FUШирина">'Free-Серия'!$I$53</definedName>
    <definedName name="MAXI_Арт_110">Мех!$E$204:$E$236</definedName>
    <definedName name="MAXI_Арт_75">Мех!$E$270:$E$302</definedName>
    <definedName name="MAXI_Арт_90">Мех!$E$237:$E$269</definedName>
    <definedName name="MAXI_Итого_110">Мех!$C$204:$C$236</definedName>
    <definedName name="MAXI_Итого_75">Мех!$C$270:$C$302</definedName>
    <definedName name="MAXI_Итого_90">Мех!$C$237:$C$269</definedName>
    <definedName name="MAXI_Кол_во_110">Мех!$G$204:$G$236</definedName>
    <definedName name="MAXI_Кол_во_75">Мех!$G$270:$G$302</definedName>
    <definedName name="MAXI_Кол_во_90">Мех!$G$237:$G$269</definedName>
    <definedName name="MAXI_Колво_110_1">Мех!$A$204:$A$236</definedName>
    <definedName name="MAXI_Колво_110_2">Мех!$B$204:$B$236</definedName>
    <definedName name="MAXI_Колво_75_1">Мех!$A$270:$A$302</definedName>
    <definedName name="MAXI_Колво_75_2">Мех!$B$270:$B$302</definedName>
    <definedName name="MAXI_Колво_90_1">Мех!$A$237:$A$269</definedName>
    <definedName name="MAXI_Колво_90_2">Мех!$B$237:$B$269</definedName>
    <definedName name="MAXIДоводчик">#REF!</definedName>
    <definedName name="MAXIПетлиНетДоводки">#REF!</definedName>
    <definedName name="MXIndex110">#REF!</definedName>
    <definedName name="MXIndex75">#REF!</definedName>
    <definedName name="MXIndex90">#REF!</definedName>
    <definedName name="MX№">Мех!$D$204:$D$302</definedName>
    <definedName name="MXВес">#REF!</definedName>
    <definedName name="MXВеСдо">Мех!$I$204:$I$302</definedName>
    <definedName name="MXВеСдо2">Мех!$K$204:$K$302</definedName>
    <definedName name="MXВеСот">Мех!$H$204:$H$302</definedName>
    <definedName name="MXВеСот2">Мех!$J$204:$J$302</definedName>
    <definedName name="MXВыСдо">Мех!$M$204:$M$302</definedName>
    <definedName name="MXВыСот">Мех!$L$204:$L$302</definedName>
    <definedName name="MXВысота">#REF!</definedName>
    <definedName name="MXКолвоM">Мех!$G$204:$G$302</definedName>
    <definedName name="MXМаркер1">Мех!$A$204:$A$302</definedName>
    <definedName name="MXМаркер2">Мех!$B$204:$B$302</definedName>
    <definedName name="MXМатериал">#REF!</definedName>
    <definedName name="MXмеханизм">Мех!$N$204:$N$302</definedName>
    <definedName name="MXТолщина">#REF!</definedName>
    <definedName name="MXУгол">#REF!</definedName>
    <definedName name="MXШирина">#REF!</definedName>
    <definedName name="NDUDS">#REF!</definedName>
    <definedName name="NFFD">'Free-Серия'!$E$17</definedName>
    <definedName name="NFFH15">FreeFlapH1.5!$E$25</definedName>
    <definedName name="NMAXI">#REF!</definedName>
    <definedName name="SS_Art">Справ!$E$8:$G$8</definedName>
    <definedName name="Алм_ТабФ">Таб_Вес!$C$38:$P$55</definedName>
    <definedName name="Вариант_Пт">Петли!$A$3:$I$59</definedName>
    <definedName name="Вариант_Пт_Номера">Петли!$A$3:$A$59</definedName>
    <definedName name="ВесФасадаРасчет">VLOOKUP('Free-Серия'!$G1048575,РасчетВес,'Free-Серия'!$A1048575+1)</definedName>
    <definedName name="ВесФасадаРасчетDUO">VLOOKUP(#REF!,РасчетВес,#REF!+1)</definedName>
    <definedName name="ВесФасадаРасчетFF17">VLOOKUP(FreeFlap!$G$3,РасчетВес,FreeFlap!$A$3+1)</definedName>
    <definedName name="ВесФасадаРасчетFF35">VLOOKUP(FreeFlap!$G$32,РасчетВес,FreeFlap!$A$32+1)</definedName>
    <definedName name="ВесФасадаРасчетFFH15">VLOOKUP(FreeFlapH1.5!$G$3,РасчетВес,FreeFlapH1.5!$A$3+1)</definedName>
    <definedName name="ВесФасадаРасчетMAXI">VLOOKUP(#REF!,РасчетВес,#REF!+1)</definedName>
    <definedName name="ВысотаФ">Таб_Вес!$V$16:$V$100</definedName>
    <definedName name="ВысотаФ_DUO">Таб_Вес!$V$16:$V$46</definedName>
    <definedName name="ВысотаФ_DUOF">Таб_Вес!$V$16:$V$66</definedName>
    <definedName name="ВысотаФ_FF315">Таб_Вес!$V$41:$V$61</definedName>
    <definedName name="ВысотаФ_FFH15">Таб_Вес!$V$23:$V$56</definedName>
    <definedName name="ВысотаФ_FFlap17">Таб_Вес!$V$16:$V$41</definedName>
    <definedName name="ВысотаФ_FFold">Таб_Вес!$V$44:$V$100</definedName>
    <definedName name="ВысотаФ_FSwing">Таб_Вес!$V$33:$V$76</definedName>
    <definedName name="ВысотаФ_FUP">Таб_Вес!$V$28:$V$56</definedName>
    <definedName name="ВысотаФ_MAXI">Таб_Вес!$V$26:$V$96</definedName>
    <definedName name="ВысотаФТаб">Таб_Вес!$B$18:$B$33</definedName>
    <definedName name="ВысотаФТаб_Алм">Таб_Вес!$B$39:$B$54</definedName>
    <definedName name="Да_Нет" localSheetId="0">#REF!</definedName>
    <definedName name="Да_Нет">#REF!</definedName>
    <definedName name="ДСП_ТабФ">Таб_Вес!$C$17:$O$33</definedName>
    <definedName name="ИндексВысоты">MATCH(Таб_Вес!A1048575,ВысотаФТаб_Алм,3)</definedName>
    <definedName name="ИндексСправ">СправАссорт!$D$4:$D$214</definedName>
    <definedName name="ИндексШирины">MATCH(Таб_Вес!A1048574,ШиринаФТаб_Алм,3)</definedName>
    <definedName name="КодДоступа">Таб_Вес!$C$60:$C$76</definedName>
    <definedName name="Корректор">Цены!$R$5</definedName>
    <definedName name="КУРСЕ">Цены!$D$1</definedName>
    <definedName name="МатериалФ">Таб_Вес!$AC$16:$AC$18</definedName>
    <definedName name="НацПетли">Ценообразование!$I$9</definedName>
    <definedName name="НСегмент">'Курс Евро'!$J$10</definedName>
    <definedName name="НЦ">'Курс Евро'!#REF!</definedName>
    <definedName name="НЦР">Цены!$C$2</definedName>
    <definedName name="обУгол">Таб_Вес!$AC$28:$AC$30</definedName>
    <definedName name="РасчетВес">Таб_Вес!$AI$19:$AS$21</definedName>
    <definedName name="РознНаценка">'Настройки цен'!$D$6</definedName>
    <definedName name="СПР_PUSH">Справ!$I$21:$I$22</definedName>
    <definedName name="СПР_Толкатель">Справ!$I$24:$I$25</definedName>
    <definedName name="СправАссорт">СправАссорт!$B$4:$H$314</definedName>
    <definedName name="спрУгол">Таб_Вес!$AC$28:$AC$30</definedName>
    <definedName name="СпрЦены">Справ!$I$8:$I$9</definedName>
    <definedName name="Стекло4">Таб_Вес!$AC$21</definedName>
    <definedName name="ТАБ_FL17_Кол_во">PUSH!$K$4:$K$77</definedName>
    <definedName name="ТАБ_FL315_Толкатель_Врезной">PUSH!$N$82:$N$147</definedName>
    <definedName name="ТАБ_FL315_Толкатель_Накладной">PUSH!$O$82:$O$147</definedName>
    <definedName name="Таб_Аксессуары">Ценообразование!$E$11:$E$21</definedName>
    <definedName name="Таб_Аксессуары_Наценка">Ценообразование!$E$11:$F$21</definedName>
    <definedName name="Таб_МножФ">Таб_Вес!$R$18:$S$26</definedName>
    <definedName name="Таб_ПМ">Ценообразование!$B$11:$B$18</definedName>
    <definedName name="Таб_ПМ_Наценка">Ценообразование!$B$11:$C$18</definedName>
    <definedName name="ТАБ_Толкатель_Врезной">PUSH!$N$4:$N$77</definedName>
    <definedName name="ТАБ_Толкатель_Накладной">PUSH!$O$4:$O$77</definedName>
    <definedName name="ТабМДФ">Таб_Вес!$D$61:$O$76</definedName>
    <definedName name="ТИП_Сопряженной">Справ!$I$27:$I$28</definedName>
    <definedName name="ТолщинаФ">Таб_Вес!$R$18:$R$26</definedName>
    <definedName name="ФлагЦеныПрайса">'Настройки цен'!$D$8</definedName>
    <definedName name="фСправТовар">'Free-Серия'!$C1</definedName>
    <definedName name="фСправТоварDUO">#REF!</definedName>
    <definedName name="фСправТоварFFH15">FreeFlapH1.5!$C1</definedName>
    <definedName name="фСправТоварFFL">FreeFlap!$C1</definedName>
    <definedName name="фСправТоварMAXI">#REF!</definedName>
    <definedName name="ЦветМП">Таб_Вес!$AC$32:$AC$33</definedName>
    <definedName name="ЦеныПрайса">Справ!$I$8:$J$9</definedName>
    <definedName name="ЦСегмент">Справ!$I$4:$J$5</definedName>
    <definedName name="ЦСегментСпр">Справ!$I$4:$I$5</definedName>
    <definedName name="ШиринаФ">Таб_Вес!$U$16:$U$44</definedName>
    <definedName name="ШиринаФТаб">Таб_Вес!$D$16:$O$16</definedName>
    <definedName name="ШиринаФТаб_Алм">Таб_Вес!$D$37:$O$37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51" i="41"/>
  <c r="G52"/>
  <c r="G50"/>
  <c r="G138" i="23" l="1"/>
  <c r="F138" s="1"/>
  <c r="C138" s="1"/>
  <c r="H138"/>
  <c r="I138" s="1"/>
  <c r="G137"/>
  <c r="F137" s="1"/>
  <c r="C137" s="1"/>
  <c r="H137"/>
  <c r="I137" s="1"/>
  <c r="G136"/>
  <c r="F136" s="1"/>
  <c r="C136" s="1"/>
  <c r="H136"/>
  <c r="I136" s="1"/>
  <c r="F67" i="7" l="1"/>
  <c r="L157" i="50" l="1"/>
  <c r="M157" s="1"/>
  <c r="L158" s="1"/>
  <c r="M158" s="1"/>
  <c r="L159" s="1"/>
  <c r="M159" s="1"/>
  <c r="M150"/>
  <c r="R11" i="28"/>
  <c r="S10"/>
  <c r="R10"/>
  <c r="P11"/>
  <c r="P10"/>
  <c r="Q10"/>
  <c r="I31" i="35"/>
  <c r="I30"/>
  <c r="I29"/>
  <c r="I28"/>
  <c r="G118" i="41" l="1"/>
  <c r="G119"/>
  <c r="G120"/>
  <c r="G121"/>
  <c r="G122"/>
  <c r="G123"/>
  <c r="G124"/>
  <c r="G132" i="23" s="1"/>
  <c r="F132" s="1"/>
  <c r="C132" s="1"/>
  <c r="G125" i="41"/>
  <c r="G126"/>
  <c r="G127"/>
  <c r="G135" i="23"/>
  <c r="F135" s="1"/>
  <c r="C135" s="1"/>
  <c r="H132"/>
  <c r="I132" s="1"/>
  <c r="G133"/>
  <c r="F133" s="1"/>
  <c r="C133" s="1"/>
  <c r="H133"/>
  <c r="I133" s="1"/>
  <c r="G134"/>
  <c r="F134" s="1"/>
  <c r="C134" s="1"/>
  <c r="H134"/>
  <c r="I134" s="1"/>
  <c r="H135"/>
  <c r="I135" s="1"/>
  <c r="G8" i="28" l="1"/>
  <c r="O80" i="50"/>
  <c r="M80"/>
  <c r="A86" s="1"/>
  <c r="B86" s="1"/>
  <c r="L90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91"/>
  <c r="H147"/>
  <c r="H145"/>
  <c r="H143"/>
  <c r="H139"/>
  <c r="H137"/>
  <c r="H136"/>
  <c r="H134"/>
  <c r="H133"/>
  <c r="H131"/>
  <c r="H129"/>
  <c r="H123"/>
  <c r="H122"/>
  <c r="H120"/>
  <c r="H117"/>
  <c r="H115"/>
  <c r="H111"/>
  <c r="H108"/>
  <c r="H102"/>
  <c r="H100"/>
  <c r="H99"/>
  <c r="H97"/>
  <c r="H96"/>
  <c r="H94"/>
  <c r="H89"/>
  <c r="H87"/>
  <c r="H85"/>
  <c r="H83"/>
  <c r="D68" i="52"/>
  <c r="D66"/>
  <c r="D64"/>
  <c r="D60"/>
  <c r="D58"/>
  <c r="D57"/>
  <c r="D55"/>
  <c r="D54"/>
  <c r="D52"/>
  <c r="D50"/>
  <c r="D44"/>
  <c r="D43"/>
  <c r="D41"/>
  <c r="D38"/>
  <c r="D36"/>
  <c r="D32"/>
  <c r="D29"/>
  <c r="D23"/>
  <c r="D21"/>
  <c r="D20"/>
  <c r="D18"/>
  <c r="D17"/>
  <c r="D15"/>
  <c r="D10"/>
  <c r="D8"/>
  <c r="D6"/>
  <c r="D4"/>
  <c r="E9" i="28"/>
  <c r="O2" i="50"/>
  <c r="A84" l="1"/>
  <c r="B84" s="1"/>
  <c r="A137"/>
  <c r="A129"/>
  <c r="B129" s="1"/>
  <c r="A121"/>
  <c r="B121" s="1"/>
  <c r="A113"/>
  <c r="A105"/>
  <c r="A85"/>
  <c r="B85" s="1"/>
  <c r="A139"/>
  <c r="A135"/>
  <c r="A131"/>
  <c r="A127"/>
  <c r="A123"/>
  <c r="A119"/>
  <c r="B119" s="1"/>
  <c r="A115"/>
  <c r="A111"/>
  <c r="A107"/>
  <c r="A103"/>
  <c r="A99"/>
  <c r="B99" s="1"/>
  <c r="A95"/>
  <c r="A91"/>
  <c r="A87"/>
  <c r="B87" s="1"/>
  <c r="A83"/>
  <c r="B83" s="1"/>
  <c r="A133"/>
  <c r="A125"/>
  <c r="A117"/>
  <c r="A109"/>
  <c r="B109" s="1"/>
  <c r="A101"/>
  <c r="B101" s="1"/>
  <c r="A97"/>
  <c r="B97" s="1"/>
  <c r="A93"/>
  <c r="A89"/>
  <c r="B89" s="1"/>
  <c r="A82"/>
  <c r="B82" s="1"/>
  <c r="A136"/>
  <c r="A132"/>
  <c r="B132" s="1"/>
  <c r="A128"/>
  <c r="A124"/>
  <c r="A120"/>
  <c r="A116"/>
  <c r="A112"/>
  <c r="A108"/>
  <c r="A104"/>
  <c r="A100"/>
  <c r="B100" s="1"/>
  <c r="A96"/>
  <c r="A92"/>
  <c r="A88"/>
  <c r="B88" s="1"/>
  <c r="A138"/>
  <c r="A134"/>
  <c r="A130"/>
  <c r="B130" s="1"/>
  <c r="A126"/>
  <c r="A122"/>
  <c r="A118"/>
  <c r="B118" s="1"/>
  <c r="A114"/>
  <c r="A110"/>
  <c r="B110" s="1"/>
  <c r="A106"/>
  <c r="A102"/>
  <c r="A98"/>
  <c r="B98" s="1"/>
  <c r="A94"/>
  <c r="B94" s="1"/>
  <c r="A90"/>
  <c r="G117" i="41"/>
  <c r="G125" i="23"/>
  <c r="F125" s="1"/>
  <c r="C125" s="1"/>
  <c r="H125"/>
  <c r="I125" s="1"/>
  <c r="G126"/>
  <c r="F126" s="1"/>
  <c r="C126" s="1"/>
  <c r="H126"/>
  <c r="I126" s="1"/>
  <c r="G127"/>
  <c r="F127" s="1"/>
  <c r="C127" s="1"/>
  <c r="H127"/>
  <c r="I127" s="1"/>
  <c r="G128"/>
  <c r="F128" s="1"/>
  <c r="C128" s="1"/>
  <c r="H128"/>
  <c r="I128" s="1"/>
  <c r="G129"/>
  <c r="F129" s="1"/>
  <c r="C129" s="1"/>
  <c r="H129"/>
  <c r="I129" s="1"/>
  <c r="G130"/>
  <c r="F130" s="1"/>
  <c r="C130" s="1"/>
  <c r="H130"/>
  <c r="I130" s="1"/>
  <c r="G131"/>
  <c r="F131" s="1"/>
  <c r="C131" s="1"/>
  <c r="H131"/>
  <c r="I131" s="1"/>
  <c r="M2" i="50" l="1"/>
  <c r="M59"/>
  <c r="M65" s="1"/>
  <c r="L59"/>
  <c r="M24"/>
  <c r="M31" s="1"/>
  <c r="L24"/>
  <c r="M23"/>
  <c r="M30" s="1"/>
  <c r="L23"/>
  <c r="M22"/>
  <c r="M29" s="1"/>
  <c r="L22"/>
  <c r="M21"/>
  <c r="M28" s="1"/>
  <c r="L21"/>
  <c r="M20"/>
  <c r="M27" s="1"/>
  <c r="L20"/>
  <c r="M19"/>
  <c r="M26" s="1"/>
  <c r="L19"/>
  <c r="M18"/>
  <c r="M25" s="1"/>
  <c r="L18"/>
  <c r="L17"/>
  <c r="L16"/>
  <c r="L15"/>
  <c r="L14"/>
  <c r="L13"/>
  <c r="L12"/>
  <c r="L11"/>
  <c r="A8" l="1"/>
  <c r="A12"/>
  <c r="B12" s="1"/>
  <c r="A16"/>
  <c r="B16" s="1"/>
  <c r="A20"/>
  <c r="B20" s="1"/>
  <c r="A24"/>
  <c r="B24" s="1"/>
  <c r="A4"/>
  <c r="B4" s="1"/>
  <c r="A5"/>
  <c r="B5" s="1"/>
  <c r="A9"/>
  <c r="B9" s="1"/>
  <c r="A13"/>
  <c r="B13" s="1"/>
  <c r="A17"/>
  <c r="B17" s="1"/>
  <c r="A21"/>
  <c r="B21" s="1"/>
  <c r="A53"/>
  <c r="B53" s="1"/>
  <c r="A6"/>
  <c r="B6" s="1"/>
  <c r="A10"/>
  <c r="B10" s="1"/>
  <c r="A14"/>
  <c r="A18"/>
  <c r="B18" s="1"/>
  <c r="A22"/>
  <c r="A7"/>
  <c r="B7" s="1"/>
  <c r="A11"/>
  <c r="B11" s="1"/>
  <c r="A15"/>
  <c r="B15" s="1"/>
  <c r="A19"/>
  <c r="B19" s="1"/>
  <c r="A23"/>
  <c r="B23" s="1"/>
  <c r="B14"/>
  <c r="B8"/>
  <c r="B22"/>
  <c r="M36"/>
  <c r="L36"/>
  <c r="A36" s="1"/>
  <c r="M38"/>
  <c r="L38"/>
  <c r="A38" s="1"/>
  <c r="M32"/>
  <c r="L32"/>
  <c r="A32" s="1"/>
  <c r="M33"/>
  <c r="L33"/>
  <c r="A33" s="1"/>
  <c r="M39"/>
  <c r="L39"/>
  <c r="A39" s="1"/>
  <c r="M35"/>
  <c r="L35"/>
  <c r="A35" s="1"/>
  <c r="M37"/>
  <c r="L37"/>
  <c r="A37" s="1"/>
  <c r="M34"/>
  <c r="L34"/>
  <c r="A34" s="1"/>
  <c r="M71"/>
  <c r="L71"/>
  <c r="A71" s="1"/>
  <c r="L25"/>
  <c r="A25" s="1"/>
  <c r="L27"/>
  <c r="A27" s="1"/>
  <c r="L29"/>
  <c r="A29" s="1"/>
  <c r="L31"/>
  <c r="A31" s="1"/>
  <c r="L26"/>
  <c r="A26" s="1"/>
  <c r="L28"/>
  <c r="A28" s="1"/>
  <c r="L30"/>
  <c r="A30" s="1"/>
  <c r="L65"/>
  <c r="A10" i="51"/>
  <c r="A9"/>
  <c r="A8"/>
  <c r="A7"/>
  <c r="A6"/>
  <c r="A5"/>
  <c r="B10"/>
  <c r="B13" s="1"/>
  <c r="B16" s="1"/>
  <c r="B19" s="1"/>
  <c r="B22" s="1"/>
  <c r="B25" s="1"/>
  <c r="B28" s="1"/>
  <c r="B31" s="1"/>
  <c r="B34" s="1"/>
  <c r="B9"/>
  <c r="A12" s="1"/>
  <c r="B8"/>
  <c r="A11" s="1"/>
  <c r="B12" l="1"/>
  <c r="B15" s="1"/>
  <c r="B18" s="1"/>
  <c r="B11"/>
  <c r="A22"/>
  <c r="A34"/>
  <c r="A19"/>
  <c r="A31"/>
  <c r="A16"/>
  <c r="A28"/>
  <c r="A13"/>
  <c r="A25"/>
  <c r="B71" i="50"/>
  <c r="B32"/>
  <c r="B30"/>
  <c r="B29"/>
  <c r="B37"/>
  <c r="B28"/>
  <c r="B34"/>
  <c r="B33"/>
  <c r="B38"/>
  <c r="B31"/>
  <c r="B39"/>
  <c r="B36"/>
  <c r="B27"/>
  <c r="B35"/>
  <c r="B26"/>
  <c r="B25"/>
  <c r="M41"/>
  <c r="L41"/>
  <c r="A41" s="1"/>
  <c r="M42"/>
  <c r="L42"/>
  <c r="M40"/>
  <c r="L40"/>
  <c r="A40" s="1"/>
  <c r="M45"/>
  <c r="L45"/>
  <c r="M77"/>
  <c r="L77"/>
  <c r="A77" s="1"/>
  <c r="M44"/>
  <c r="L44"/>
  <c r="M46"/>
  <c r="L46"/>
  <c r="A46" s="1"/>
  <c r="M43"/>
  <c r="L43"/>
  <c r="A15" i="51" l="1"/>
  <c r="A18"/>
  <c r="A43" i="50"/>
  <c r="B43" s="1"/>
  <c r="A44"/>
  <c r="B44" s="1"/>
  <c r="A45"/>
  <c r="B45" s="1"/>
  <c r="A42"/>
  <c r="B42" s="1"/>
  <c r="B14" i="51"/>
  <c r="A14"/>
  <c r="B21"/>
  <c r="A21"/>
  <c r="B77" i="50"/>
  <c r="B46"/>
  <c r="B40"/>
  <c r="B41"/>
  <c r="M50"/>
  <c r="L50"/>
  <c r="M51"/>
  <c r="L51"/>
  <c r="M49"/>
  <c r="L49"/>
  <c r="M52"/>
  <c r="L52"/>
  <c r="M47"/>
  <c r="L47"/>
  <c r="M48"/>
  <c r="L48"/>
  <c r="A48" s="1"/>
  <c r="A47" l="1"/>
  <c r="B47" s="1"/>
  <c r="A49"/>
  <c r="A50"/>
  <c r="B50" s="1"/>
  <c r="B24" i="51"/>
  <c r="A24"/>
  <c r="B17"/>
  <c r="A17"/>
  <c r="A52" i="50"/>
  <c r="B52" s="1"/>
  <c r="A51"/>
  <c r="B51" s="1"/>
  <c r="B48"/>
  <c r="B49"/>
  <c r="M58"/>
  <c r="L58"/>
  <c r="M57"/>
  <c r="L57"/>
  <c r="M54"/>
  <c r="L54"/>
  <c r="M55"/>
  <c r="L55"/>
  <c r="M56"/>
  <c r="L56"/>
  <c r="B20" i="51" l="1"/>
  <c r="A20"/>
  <c r="B27"/>
  <c r="A27"/>
  <c r="M61" i="50"/>
  <c r="L61"/>
  <c r="M63"/>
  <c r="L63"/>
  <c r="M62"/>
  <c r="L62"/>
  <c r="M60"/>
  <c r="L60"/>
  <c r="M64"/>
  <c r="L64"/>
  <c r="B30" i="51" l="1"/>
  <c r="A30"/>
  <c r="B23"/>
  <c r="A23"/>
  <c r="M66" i="50"/>
  <c r="L66"/>
  <c r="M69"/>
  <c r="L69"/>
  <c r="A69" s="1"/>
  <c r="M70"/>
  <c r="L70"/>
  <c r="M68"/>
  <c r="L68"/>
  <c r="A68" s="1"/>
  <c r="M67"/>
  <c r="L67"/>
  <c r="A67" l="1"/>
  <c r="B67" s="1"/>
  <c r="A70"/>
  <c r="B70" s="1"/>
  <c r="A66"/>
  <c r="B66" s="1"/>
  <c r="B26" i="51"/>
  <c r="A26"/>
  <c r="B33"/>
  <c r="A33"/>
  <c r="B68" i="50"/>
  <c r="B69"/>
  <c r="M75"/>
  <c r="L75"/>
  <c r="M74"/>
  <c r="L74"/>
  <c r="M73"/>
  <c r="L73"/>
  <c r="M76"/>
  <c r="L76"/>
  <c r="M72"/>
  <c r="L72"/>
  <c r="A72" l="1"/>
  <c r="B72" s="1"/>
  <c r="A73"/>
  <c r="B73" s="1"/>
  <c r="A75"/>
  <c r="B75" s="1"/>
  <c r="A76"/>
  <c r="B76" s="1"/>
  <c r="A74"/>
  <c r="B74" s="1"/>
  <c r="B29" i="51"/>
  <c r="A29"/>
  <c r="F36" i="48"/>
  <c r="B32" i="51" l="1"/>
  <c r="A32"/>
  <c r="D36" i="48"/>
  <c r="G36"/>
  <c r="J36"/>
  <c r="K36"/>
  <c r="L36" l="1"/>
  <c r="N36"/>
  <c r="O333" i="14"/>
  <c r="M333"/>
  <c r="G4" i="41" l="1"/>
  <c r="G124" i="23" l="1"/>
  <c r="F124" s="1"/>
  <c r="C124" s="1"/>
  <c r="H124"/>
  <c r="R366" i="14"/>
  <c r="R367"/>
  <c r="R368"/>
  <c r="R369"/>
  <c r="R354"/>
  <c r="R355"/>
  <c r="R356"/>
  <c r="R357"/>
  <c r="I124" i="23" l="1"/>
  <c r="AR18" i="7"/>
  <c r="AR17"/>
  <c r="AR16"/>
  <c r="R342" i="14"/>
  <c r="R343"/>
  <c r="R344"/>
  <c r="R345"/>
  <c r="R370"/>
  <c r="R365"/>
  <c r="R364"/>
  <c r="R363"/>
  <c r="R362"/>
  <c r="R361"/>
  <c r="R360"/>
  <c r="R359"/>
  <c r="R358"/>
  <c r="R353"/>
  <c r="R352"/>
  <c r="R351"/>
  <c r="R350"/>
  <c r="R349"/>
  <c r="R348"/>
  <c r="R347"/>
  <c r="R346"/>
  <c r="R341"/>
  <c r="R340"/>
  <c r="R339"/>
  <c r="R338"/>
  <c r="R337"/>
  <c r="R336"/>
  <c r="D336"/>
  <c r="D337" s="1"/>
  <c r="D338" s="1"/>
  <c r="D339" s="1"/>
  <c r="D340" s="1"/>
  <c r="D341" s="1"/>
  <c r="D342" s="1"/>
  <c r="D343" s="1"/>
  <c r="D344" s="1"/>
  <c r="D345" s="1"/>
  <c r="D346" s="1"/>
  <c r="R335"/>
  <c r="S8" i="28"/>
  <c r="R8"/>
  <c r="S7"/>
  <c r="R7"/>
  <c r="S6"/>
  <c r="R6"/>
  <c r="S5"/>
  <c r="R5"/>
  <c r="AR21" i="7" l="1"/>
  <c r="AR19"/>
  <c r="AR20"/>
  <c r="D347" i="14"/>
  <c r="D348" s="1"/>
  <c r="D349" s="1"/>
  <c r="D350" s="1"/>
  <c r="D351" s="1"/>
  <c r="D352" s="1"/>
  <c r="D353" s="1"/>
  <c r="D354" s="1"/>
  <c r="D164" i="27"/>
  <c r="E164"/>
  <c r="D166"/>
  <c r="E166"/>
  <c r="D160"/>
  <c r="E160"/>
  <c r="D161"/>
  <c r="E161"/>
  <c r="D162"/>
  <c r="E162"/>
  <c r="D163"/>
  <c r="E163"/>
  <c r="D142"/>
  <c r="E142"/>
  <c r="D143"/>
  <c r="E143"/>
  <c r="D144"/>
  <c r="E144"/>
  <c r="D145"/>
  <c r="E145"/>
  <c r="D146"/>
  <c r="E146"/>
  <c r="D147"/>
  <c r="E147"/>
  <c r="D148"/>
  <c r="E148"/>
  <c r="D149"/>
  <c r="E149"/>
  <c r="D150"/>
  <c r="E150"/>
  <c r="D151"/>
  <c r="E151"/>
  <c r="D152"/>
  <c r="E152"/>
  <c r="D153"/>
  <c r="E153"/>
  <c r="D154"/>
  <c r="E154"/>
  <c r="D155"/>
  <c r="E155"/>
  <c r="D156"/>
  <c r="E156"/>
  <c r="D157"/>
  <c r="E157"/>
  <c r="D158"/>
  <c r="E158"/>
  <c r="D159"/>
  <c r="E159"/>
  <c r="E141"/>
  <c r="D141"/>
  <c r="I64" l="1"/>
  <c r="I65"/>
  <c r="I127"/>
  <c r="I128"/>
  <c r="I126"/>
  <c r="I124"/>
  <c r="I125"/>
  <c r="I113"/>
  <c r="I123"/>
  <c r="D355" i="14"/>
  <c r="D356" s="1"/>
  <c r="D357" s="1"/>
  <c r="D358" s="1"/>
  <c r="D359" l="1"/>
  <c r="D360" s="1"/>
  <c r="D361" s="1"/>
  <c r="D362" s="1"/>
  <c r="D363" s="1"/>
  <c r="D364" s="1"/>
  <c r="D365" s="1"/>
  <c r="D366" s="1"/>
  <c r="D367" s="1"/>
  <c r="D368" s="1"/>
  <c r="D369" s="1"/>
  <c r="D370" s="1"/>
  <c r="H19" i="23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I105" s="1"/>
  <c r="H106"/>
  <c r="I106" s="1"/>
  <c r="H107"/>
  <c r="I107" s="1"/>
  <c r="H108"/>
  <c r="H109"/>
  <c r="H110"/>
  <c r="H111"/>
  <c r="I111" s="1"/>
  <c r="H112"/>
  <c r="I112" s="1"/>
  <c r="H113"/>
  <c r="I113" s="1"/>
  <c r="H114"/>
  <c r="H115"/>
  <c r="H116"/>
  <c r="H117"/>
  <c r="I117" s="1"/>
  <c r="H118"/>
  <c r="I118" s="1"/>
  <c r="H119"/>
  <c r="I119" s="1"/>
  <c r="H120"/>
  <c r="I120" s="1"/>
  <c r="H121"/>
  <c r="I121" s="1"/>
  <c r="H122"/>
  <c r="I122" s="1"/>
  <c r="H123"/>
  <c r="I123" s="1"/>
  <c r="H5"/>
  <c r="I5" s="1"/>
  <c r="H6"/>
  <c r="I6" s="1"/>
  <c r="H7"/>
  <c r="H8"/>
  <c r="H9"/>
  <c r="H10"/>
  <c r="H11"/>
  <c r="H12"/>
  <c r="H13"/>
  <c r="H14"/>
  <c r="H15"/>
  <c r="H16"/>
  <c r="H17"/>
  <c r="H18"/>
  <c r="H4"/>
  <c r="G5"/>
  <c r="F5" s="1"/>
  <c r="G6"/>
  <c r="F6" s="1"/>
  <c r="G105"/>
  <c r="F105" s="1"/>
  <c r="G106"/>
  <c r="F106" s="1"/>
  <c r="G107"/>
  <c r="F107" s="1"/>
  <c r="G111"/>
  <c r="F111" s="1"/>
  <c r="G112"/>
  <c r="F112" s="1"/>
  <c r="G113"/>
  <c r="F113" s="1"/>
  <c r="G120"/>
  <c r="F120" s="1"/>
  <c r="G121"/>
  <c r="F121" s="1"/>
  <c r="G122"/>
  <c r="F122" s="1"/>
  <c r="G123"/>
  <c r="F123" s="1"/>
  <c r="G115" i="41" l="1"/>
  <c r="G114" i="23" s="1"/>
  <c r="F114" s="1"/>
  <c r="C114" s="1"/>
  <c r="G116" i="41"/>
  <c r="G115" i="23" s="1"/>
  <c r="F115" s="1"/>
  <c r="C115" s="1"/>
  <c r="G112" i="41"/>
  <c r="G113"/>
  <c r="G114"/>
  <c r="G80"/>
  <c r="G81"/>
  <c r="G91" i="23" s="1"/>
  <c r="F91" s="1"/>
  <c r="G82" i="41"/>
  <c r="G83"/>
  <c r="G73" i="23" s="1"/>
  <c r="F73" s="1"/>
  <c r="C73" s="1"/>
  <c r="G84" i="41"/>
  <c r="G85"/>
  <c r="G90" i="23" s="1"/>
  <c r="F90" s="1"/>
  <c r="C90" s="1"/>
  <c r="G86" i="41"/>
  <c r="G87"/>
  <c r="G88"/>
  <c r="G89"/>
  <c r="G66" i="23" s="1"/>
  <c r="F66" s="1"/>
  <c r="C66" s="1"/>
  <c r="G90" i="41"/>
  <c r="G91"/>
  <c r="G102" i="23" s="1"/>
  <c r="F102" s="1"/>
  <c r="C102" s="1"/>
  <c r="G92" i="41"/>
  <c r="G93"/>
  <c r="G68" i="23" s="1"/>
  <c r="F68" s="1"/>
  <c r="C68" s="1"/>
  <c r="G94" i="41"/>
  <c r="G95"/>
  <c r="G96"/>
  <c r="G97"/>
  <c r="G4" i="23" s="1"/>
  <c r="G98" i="41"/>
  <c r="G99"/>
  <c r="G119" i="23" s="1"/>
  <c r="F119" s="1"/>
  <c r="C119" s="1"/>
  <c r="G100" i="41"/>
  <c r="G101"/>
  <c r="G38" i="23" s="1"/>
  <c r="F38" s="1"/>
  <c r="C38" s="1"/>
  <c r="G102" i="41"/>
  <c r="G103"/>
  <c r="G34" i="23" s="1"/>
  <c r="F34" s="1"/>
  <c r="C34" s="1"/>
  <c r="G104" i="41"/>
  <c r="G105"/>
  <c r="G23" i="23" s="1"/>
  <c r="F23" s="1"/>
  <c r="C23" s="1"/>
  <c r="G106" i="41"/>
  <c r="G107"/>
  <c r="G108"/>
  <c r="G20" i="23" s="1"/>
  <c r="F20" s="1"/>
  <c r="C20" s="1"/>
  <c r="G109" i="41"/>
  <c r="G19" i="23" s="1"/>
  <c r="F19" s="1"/>
  <c r="C19" s="1"/>
  <c r="G110" i="41"/>
  <c r="G111"/>
  <c r="G79"/>
  <c r="C5" i="23"/>
  <c r="C6"/>
  <c r="C91"/>
  <c r="C105"/>
  <c r="C106"/>
  <c r="C107"/>
  <c r="C111"/>
  <c r="C112"/>
  <c r="C113"/>
  <c r="C120"/>
  <c r="C121"/>
  <c r="C122"/>
  <c r="C123"/>
  <c r="B2"/>
  <c r="C1"/>
  <c r="G5" i="41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3"/>
  <c r="G118" i="23" l="1"/>
  <c r="F118" s="1"/>
  <c r="G64" i="27"/>
  <c r="G65"/>
  <c r="G113"/>
  <c r="G28" i="35"/>
  <c r="G165" i="27"/>
  <c r="G131"/>
  <c r="G132"/>
  <c r="G133"/>
  <c r="G130"/>
  <c r="G124"/>
  <c r="G123"/>
  <c r="G125"/>
  <c r="G129"/>
  <c r="G126"/>
  <c r="G127"/>
  <c r="G128"/>
  <c r="G29" i="35"/>
  <c r="G31"/>
  <c r="G162" i="27"/>
  <c r="G161"/>
  <c r="G159"/>
  <c r="G163"/>
  <c r="I66" i="23"/>
  <c r="I102"/>
  <c r="I68"/>
  <c r="I73"/>
  <c r="I114"/>
  <c r="I115"/>
  <c r="G164" i="27"/>
  <c r="G160"/>
  <c r="I34" i="23"/>
  <c r="I90"/>
  <c r="I19"/>
  <c r="I91"/>
  <c r="I20"/>
  <c r="I38"/>
  <c r="I23"/>
  <c r="F4"/>
  <c r="C4" s="1"/>
  <c r="I4"/>
  <c r="G9"/>
  <c r="G61"/>
  <c r="G71"/>
  <c r="G77"/>
  <c r="G96"/>
  <c r="G11"/>
  <c r="G24"/>
  <c r="G63"/>
  <c r="G55"/>
  <c r="G47"/>
  <c r="G70"/>
  <c r="G75"/>
  <c r="G92"/>
  <c r="G98"/>
  <c r="G16"/>
  <c r="G12"/>
  <c r="G8"/>
  <c r="G25"/>
  <c r="G27"/>
  <c r="G64"/>
  <c r="G60"/>
  <c r="G56"/>
  <c r="G52"/>
  <c r="G48"/>
  <c r="G44"/>
  <c r="G40"/>
  <c r="G109"/>
  <c r="G89"/>
  <c r="G85"/>
  <c r="G80"/>
  <c r="G76"/>
  <c r="G100"/>
  <c r="G21"/>
  <c r="G72"/>
  <c r="G35"/>
  <c r="G104"/>
  <c r="G65"/>
  <c r="G81"/>
  <c r="G74"/>
  <c r="G13"/>
  <c r="G30"/>
  <c r="G49"/>
  <c r="G69"/>
  <c r="G99"/>
  <c r="G28"/>
  <c r="G53"/>
  <c r="G41"/>
  <c r="G82"/>
  <c r="G97"/>
  <c r="G18"/>
  <c r="G14"/>
  <c r="G10"/>
  <c r="G29"/>
  <c r="G33"/>
  <c r="G31"/>
  <c r="G62"/>
  <c r="G58"/>
  <c r="G54"/>
  <c r="G50"/>
  <c r="G46"/>
  <c r="G42"/>
  <c r="G110"/>
  <c r="G108"/>
  <c r="G87"/>
  <c r="G83"/>
  <c r="G78"/>
  <c r="G94"/>
  <c r="G116"/>
  <c r="G36"/>
  <c r="G103"/>
  <c r="G101"/>
  <c r="G37"/>
  <c r="G93"/>
  <c r="G17"/>
  <c r="G32"/>
  <c r="G57"/>
  <c r="G45"/>
  <c r="G86"/>
  <c r="G15"/>
  <c r="G7"/>
  <c r="G26"/>
  <c r="G59"/>
  <c r="G51"/>
  <c r="G43"/>
  <c r="G39"/>
  <c r="G88"/>
  <c r="G84"/>
  <c r="G79"/>
  <c r="G95"/>
  <c r="G22"/>
  <c r="G67"/>
  <c r="G117"/>
  <c r="F117" s="1"/>
  <c r="C117" s="1"/>
  <c r="C118"/>
  <c r="F67" l="1"/>
  <c r="C67" s="1"/>
  <c r="I67"/>
  <c r="F101"/>
  <c r="C101" s="1"/>
  <c r="I101"/>
  <c r="F94"/>
  <c r="C94" s="1"/>
  <c r="I94"/>
  <c r="F74"/>
  <c r="C74" s="1"/>
  <c r="I74"/>
  <c r="F35"/>
  <c r="C35" s="1"/>
  <c r="I35"/>
  <c r="F22"/>
  <c r="C22" s="1"/>
  <c r="I22"/>
  <c r="F103"/>
  <c r="C103" s="1"/>
  <c r="I103"/>
  <c r="F81"/>
  <c r="C81" s="1"/>
  <c r="I81"/>
  <c r="F72"/>
  <c r="C72" s="1"/>
  <c r="I72"/>
  <c r="F95"/>
  <c r="C95" s="1"/>
  <c r="I95"/>
  <c r="F93"/>
  <c r="C93" s="1"/>
  <c r="I93"/>
  <c r="F36"/>
  <c r="C36" s="1"/>
  <c r="I36"/>
  <c r="F65"/>
  <c r="C65" s="1"/>
  <c r="I65"/>
  <c r="F21"/>
  <c r="C21" s="1"/>
  <c r="I21"/>
  <c r="F37"/>
  <c r="C37" s="1"/>
  <c r="I37"/>
  <c r="F116"/>
  <c r="C116" s="1"/>
  <c r="I116"/>
  <c r="F104"/>
  <c r="C104" s="1"/>
  <c r="I104"/>
  <c r="F100"/>
  <c r="C100" s="1"/>
  <c r="I100"/>
  <c r="F88"/>
  <c r="C88" s="1"/>
  <c r="I88"/>
  <c r="F17"/>
  <c r="C17" s="1"/>
  <c r="I17"/>
  <c r="F54"/>
  <c r="C54" s="1"/>
  <c r="I54"/>
  <c r="F18"/>
  <c r="C18" s="1"/>
  <c r="I18"/>
  <c r="F40"/>
  <c r="C40" s="1"/>
  <c r="I40"/>
  <c r="F25"/>
  <c r="C25" s="1"/>
  <c r="I25"/>
  <c r="F61"/>
  <c r="C61" s="1"/>
  <c r="I61"/>
  <c r="F39"/>
  <c r="C39" s="1"/>
  <c r="I39"/>
  <c r="F26"/>
  <c r="C26" s="1"/>
  <c r="I26"/>
  <c r="F45"/>
  <c r="C45" s="1"/>
  <c r="I45"/>
  <c r="F83"/>
  <c r="C83" s="1"/>
  <c r="I83"/>
  <c r="F42"/>
  <c r="C42" s="1"/>
  <c r="I42"/>
  <c r="F58"/>
  <c r="C58" s="1"/>
  <c r="I58"/>
  <c r="F29"/>
  <c r="C29" s="1"/>
  <c r="I29"/>
  <c r="F97"/>
  <c r="C97" s="1"/>
  <c r="I97"/>
  <c r="F28"/>
  <c r="C28" s="1"/>
  <c r="I28"/>
  <c r="F30"/>
  <c r="C30" s="1"/>
  <c r="I30"/>
  <c r="F85"/>
  <c r="C85" s="1"/>
  <c r="I85"/>
  <c r="F44"/>
  <c r="C44" s="1"/>
  <c r="I44"/>
  <c r="F60"/>
  <c r="C60" s="1"/>
  <c r="I60"/>
  <c r="F8"/>
  <c r="C8" s="1"/>
  <c r="I8"/>
  <c r="F92"/>
  <c r="C92" s="1"/>
  <c r="I92"/>
  <c r="F55"/>
  <c r="C55" s="1"/>
  <c r="I55"/>
  <c r="F96"/>
  <c r="C96" s="1"/>
  <c r="I96"/>
  <c r="F9"/>
  <c r="C9" s="1"/>
  <c r="I9"/>
  <c r="F59"/>
  <c r="C59" s="1"/>
  <c r="I59"/>
  <c r="F86"/>
  <c r="C86" s="1"/>
  <c r="I86"/>
  <c r="F78"/>
  <c r="C78" s="1"/>
  <c r="I78"/>
  <c r="F33"/>
  <c r="C33" s="1"/>
  <c r="I33"/>
  <c r="F49"/>
  <c r="C49" s="1"/>
  <c r="I49"/>
  <c r="F80"/>
  <c r="C80" s="1"/>
  <c r="I80"/>
  <c r="F47"/>
  <c r="C47" s="1"/>
  <c r="I47"/>
  <c r="F79"/>
  <c r="C79" s="1"/>
  <c r="I79"/>
  <c r="F43"/>
  <c r="C43" s="1"/>
  <c r="I43"/>
  <c r="F7"/>
  <c r="C7" s="1"/>
  <c r="I7"/>
  <c r="F57"/>
  <c r="C57" s="1"/>
  <c r="I57"/>
  <c r="F87"/>
  <c r="C87" s="1"/>
  <c r="I87"/>
  <c r="F46"/>
  <c r="C46" s="1"/>
  <c r="I46"/>
  <c r="F62"/>
  <c r="C62" s="1"/>
  <c r="I62"/>
  <c r="F10"/>
  <c r="C10" s="1"/>
  <c r="I10"/>
  <c r="F82"/>
  <c r="C82" s="1"/>
  <c r="I82"/>
  <c r="F99"/>
  <c r="C99" s="1"/>
  <c r="I99"/>
  <c r="F13"/>
  <c r="C13" s="1"/>
  <c r="I13"/>
  <c r="F89"/>
  <c r="C89" s="1"/>
  <c r="I89"/>
  <c r="F48"/>
  <c r="C48" s="1"/>
  <c r="I48"/>
  <c r="F64"/>
  <c r="C64" s="1"/>
  <c r="I64"/>
  <c r="F12"/>
  <c r="C12" s="1"/>
  <c r="I12"/>
  <c r="F75"/>
  <c r="C75" s="1"/>
  <c r="I75"/>
  <c r="F63"/>
  <c r="C63" s="1"/>
  <c r="I63"/>
  <c r="F77"/>
  <c r="C77" s="1"/>
  <c r="I77"/>
  <c r="F110"/>
  <c r="C110" s="1"/>
  <c r="I110"/>
  <c r="F53"/>
  <c r="C53" s="1"/>
  <c r="I53"/>
  <c r="F56"/>
  <c r="C56" s="1"/>
  <c r="I56"/>
  <c r="F98"/>
  <c r="C98" s="1"/>
  <c r="I98"/>
  <c r="F11"/>
  <c r="C11" s="1"/>
  <c r="I11"/>
  <c r="F84"/>
  <c r="C84" s="1"/>
  <c r="I84"/>
  <c r="F51"/>
  <c r="C51" s="1"/>
  <c r="I51"/>
  <c r="F15"/>
  <c r="C15" s="1"/>
  <c r="I15"/>
  <c r="F32"/>
  <c r="C32" s="1"/>
  <c r="I32"/>
  <c r="F108"/>
  <c r="C108" s="1"/>
  <c r="I108"/>
  <c r="F50"/>
  <c r="C50" s="1"/>
  <c r="I50"/>
  <c r="F31"/>
  <c r="C31" s="1"/>
  <c r="I31"/>
  <c r="F14"/>
  <c r="C14" s="1"/>
  <c r="I14"/>
  <c r="F41"/>
  <c r="C41" s="1"/>
  <c r="I41"/>
  <c r="F69"/>
  <c r="C69" s="1"/>
  <c r="I69"/>
  <c r="F76"/>
  <c r="C76" s="1"/>
  <c r="I76"/>
  <c r="F109"/>
  <c r="C109" s="1"/>
  <c r="I109"/>
  <c r="F52"/>
  <c r="C52" s="1"/>
  <c r="I52"/>
  <c r="F27"/>
  <c r="C27" s="1"/>
  <c r="I27"/>
  <c r="F16"/>
  <c r="C16" s="1"/>
  <c r="I16"/>
  <c r="F70"/>
  <c r="C70" s="1"/>
  <c r="I70"/>
  <c r="F24"/>
  <c r="C24" s="1"/>
  <c r="I24"/>
  <c r="F71"/>
  <c r="C71" s="1"/>
  <c r="I71"/>
  <c r="P8" i="28"/>
  <c r="P7"/>
  <c r="P6"/>
  <c r="P5"/>
  <c r="I26" i="35"/>
  <c r="I25"/>
  <c r="I24"/>
  <c r="I23"/>
  <c r="I22"/>
  <c r="I21"/>
  <c r="I20"/>
  <c r="I19"/>
  <c r="O7" i="28"/>
  <c r="O6"/>
  <c r="N7"/>
  <c r="N6"/>
  <c r="I15" i="35"/>
  <c r="I16"/>
  <c r="I17"/>
  <c r="I18"/>
  <c r="M10" i="28"/>
  <c r="M9"/>
  <c r="M8"/>
  <c r="M7"/>
  <c r="L10"/>
  <c r="L9"/>
  <c r="L8"/>
  <c r="L7"/>
  <c r="B8"/>
  <c r="I5" i="35"/>
  <c r="I6"/>
  <c r="I7"/>
  <c r="I8"/>
  <c r="I9"/>
  <c r="I10"/>
  <c r="I11"/>
  <c r="I12"/>
  <c r="I13"/>
  <c r="I14"/>
  <c r="I4"/>
  <c r="I3"/>
  <c r="B7" i="28" l="1"/>
  <c r="Q8" l="1"/>
  <c r="Q7"/>
  <c r="Q6"/>
  <c r="Q5"/>
  <c r="I139" i="27"/>
  <c r="I140"/>
  <c r="E197"/>
  <c r="I197"/>
  <c r="C8" i="28" l="1"/>
  <c r="C7"/>
  <c r="C7" i="33" l="1"/>
  <c r="E5" s="1"/>
  <c r="D7"/>
  <c r="E7"/>
  <c r="B9"/>
  <c r="B10"/>
  <c r="B11"/>
  <c r="B12"/>
  <c r="B13"/>
  <c r="B14"/>
  <c r="B15"/>
  <c r="B16"/>
  <c r="B17"/>
  <c r="B18"/>
  <c r="B19"/>
  <c r="B20"/>
  <c r="B21"/>
  <c r="D5" i="32" l="1"/>
  <c r="J4" l="1"/>
  <c r="G136" i="27" l="1"/>
  <c r="AN16" i="7" l="1"/>
  <c r="AN17"/>
  <c r="AK18"/>
  <c r="N203" i="14" l="1"/>
  <c r="M203"/>
  <c r="L203"/>
  <c r="K203"/>
  <c r="J203"/>
  <c r="I203"/>
  <c r="H203"/>
  <c r="G203"/>
  <c r="F203"/>
  <c r="E203"/>
  <c r="D203"/>
  <c r="B203"/>
  <c r="A203"/>
  <c r="M127"/>
  <c r="O127"/>
  <c r="B129" l="1"/>
  <c r="A129"/>
  <c r="G129"/>
  <c r="J129"/>
  <c r="K129"/>
  <c r="AJ16" i="7"/>
  <c r="AJ17"/>
  <c r="AJ18"/>
  <c r="N129" i="14"/>
  <c r="M129"/>
  <c r="L129"/>
  <c r="I129"/>
  <c r="H129"/>
  <c r="F129"/>
  <c r="E129"/>
  <c r="D129"/>
  <c r="D4" i="30" l="1"/>
  <c r="J5"/>
  <c r="A1" a="1"/>
  <c r="A1" l="1"/>
  <c r="A2"/>
  <c r="A3"/>
  <c r="H8"/>
  <c r="M2" i="23" l="1"/>
  <c r="N2" s="1"/>
  <c r="L2"/>
  <c r="L1" s="1"/>
  <c r="M1" l="1"/>
  <c r="M3"/>
  <c r="M3" i="14"/>
  <c r="N1" i="23" l="1"/>
  <c r="N3"/>
  <c r="M4"/>
  <c r="O1" l="1"/>
  <c r="N4"/>
  <c r="M5"/>
  <c r="M305" i="14"/>
  <c r="O305"/>
  <c r="O2" i="23" l="1"/>
  <c r="O3" s="1"/>
  <c r="N5"/>
  <c r="M6"/>
  <c r="N6" s="1"/>
  <c r="R197" i="14"/>
  <c r="R153"/>
  <c r="O4" i="23" l="1"/>
  <c r="D308" i="14"/>
  <c r="D309" s="1"/>
  <c r="D310" s="1"/>
  <c r="D311" s="1"/>
  <c r="D205"/>
  <c r="D206" s="1"/>
  <c r="D207" s="1"/>
  <c r="D208" s="1"/>
  <c r="D209" s="1"/>
  <c r="D210" s="1"/>
  <c r="D211" s="1"/>
  <c r="D212" s="1"/>
  <c r="D213" s="1"/>
  <c r="D214" s="1"/>
  <c r="D215" s="1"/>
  <c r="D216" s="1"/>
  <c r="D217" s="1"/>
  <c r="D218" s="1"/>
  <c r="D219" s="1"/>
  <c r="D220" s="1"/>
  <c r="D221" s="1"/>
  <c r="D222" s="1"/>
  <c r="D223" s="1"/>
  <c r="D224" s="1"/>
  <c r="D225" s="1"/>
  <c r="D226" s="1"/>
  <c r="D227" s="1"/>
  <c r="D228" s="1"/>
  <c r="D229" s="1"/>
  <c r="D230" s="1"/>
  <c r="D231" s="1"/>
  <c r="D232" s="1"/>
  <c r="R301"/>
  <c r="R268"/>
  <c r="R235"/>
  <c r="R178"/>
  <c r="R114"/>
  <c r="R74"/>
  <c r="R73"/>
  <c r="R113"/>
  <c r="R123"/>
  <c r="D131"/>
  <c r="D132" s="1"/>
  <c r="D133" s="1"/>
  <c r="D134" s="1"/>
  <c r="D135" s="1"/>
  <c r="D136" s="1"/>
  <c r="D137" s="1"/>
  <c r="D138" s="1"/>
  <c r="D139" s="1"/>
  <c r="D140" s="1"/>
  <c r="D141" s="1"/>
  <c r="D142" s="1"/>
  <c r="D143" s="1"/>
  <c r="D144" s="1"/>
  <c r="D145" s="1"/>
  <c r="D146" s="1"/>
  <c r="D147" s="1"/>
  <c r="D148" s="1"/>
  <c r="D149" s="1"/>
  <c r="D150" s="1"/>
  <c r="D151" s="1"/>
  <c r="D152" s="1"/>
  <c r="D153" s="1"/>
  <c r="D154" s="1"/>
  <c r="I97" i="27"/>
  <c r="I98"/>
  <c r="I99"/>
  <c r="I100"/>
  <c r="I101"/>
  <c r="I102"/>
  <c r="I103"/>
  <c r="I104"/>
  <c r="I105"/>
  <c r="I106"/>
  <c r="I107"/>
  <c r="I108"/>
  <c r="I109"/>
  <c r="I110"/>
  <c r="I111"/>
  <c r="I112"/>
  <c r="I114"/>
  <c r="I115"/>
  <c r="I116"/>
  <c r="I117"/>
  <c r="I118"/>
  <c r="I119"/>
  <c r="I120"/>
  <c r="I121"/>
  <c r="I122"/>
  <c r="I136"/>
  <c r="I137"/>
  <c r="I138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8"/>
  <c r="I199"/>
  <c r="I200"/>
  <c r="I201"/>
  <c r="I202"/>
  <c r="I203"/>
  <c r="I204"/>
  <c r="I205"/>
  <c r="I89"/>
  <c r="I90"/>
  <c r="I91"/>
  <c r="I92"/>
  <c r="I93"/>
  <c r="I94"/>
  <c r="I95"/>
  <c r="I96"/>
  <c r="I77"/>
  <c r="I78"/>
  <c r="I79"/>
  <c r="I80"/>
  <c r="I81"/>
  <c r="I82"/>
  <c r="I83"/>
  <c r="I84"/>
  <c r="I85"/>
  <c r="I86"/>
  <c r="I87"/>
  <c r="I88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6"/>
  <c r="I67"/>
  <c r="I68"/>
  <c r="I69"/>
  <c r="I70"/>
  <c r="I38"/>
  <c r="I39"/>
  <c r="I40"/>
  <c r="I71"/>
  <c r="I72"/>
  <c r="I73"/>
  <c r="I74"/>
  <c r="I75"/>
  <c r="I76"/>
  <c r="I206"/>
  <c r="I207"/>
  <c r="O5" i="23" l="1"/>
  <c r="D155" i="14"/>
  <c r="D156" s="1"/>
  <c r="D157" s="1"/>
  <c r="D158" s="1"/>
  <c r="D159" s="1"/>
  <c r="D160" s="1"/>
  <c r="D161" s="1"/>
  <c r="D162" s="1"/>
  <c r="D163" s="1"/>
  <c r="D164" s="1"/>
  <c r="D165" s="1"/>
  <c r="D166" s="1"/>
  <c r="D167" s="1"/>
  <c r="D168" s="1"/>
  <c r="D169" s="1"/>
  <c r="D170" s="1"/>
  <c r="D171" s="1"/>
  <c r="D172" s="1"/>
  <c r="D173" s="1"/>
  <c r="D174" s="1"/>
  <c r="D175" s="1"/>
  <c r="D176" s="1"/>
  <c r="D177" s="1"/>
  <c r="D178" s="1"/>
  <c r="D179" s="1"/>
  <c r="D312"/>
  <c r="D313" s="1"/>
  <c r="D314" s="1"/>
  <c r="D233"/>
  <c r="D234" s="1"/>
  <c r="D235" s="1"/>
  <c r="D236" s="1"/>
  <c r="C2" i="27"/>
  <c r="A2"/>
  <c r="I29"/>
  <c r="I30"/>
  <c r="I31"/>
  <c r="I32"/>
  <c r="I33"/>
  <c r="I34"/>
  <c r="I35"/>
  <c r="I36"/>
  <c r="I37"/>
  <c r="I208"/>
  <c r="I209"/>
  <c r="I210"/>
  <c r="I211"/>
  <c r="I20"/>
  <c r="I21"/>
  <c r="I22"/>
  <c r="I23"/>
  <c r="I24"/>
  <c r="I25"/>
  <c r="I26"/>
  <c r="I27"/>
  <c r="I28"/>
  <c r="I212"/>
  <c r="I213"/>
  <c r="I214"/>
  <c r="I15"/>
  <c r="I16"/>
  <c r="I17"/>
  <c r="I18"/>
  <c r="I19"/>
  <c r="I4"/>
  <c r="I5"/>
  <c r="I6"/>
  <c r="I7"/>
  <c r="I8"/>
  <c r="I9"/>
  <c r="I10"/>
  <c r="I11"/>
  <c r="I12"/>
  <c r="I13"/>
  <c r="I14"/>
  <c r="O6" i="23" l="1"/>
  <c r="K6" s="1"/>
  <c r="D180" i="14"/>
  <c r="D181" s="1"/>
  <c r="D182" s="1"/>
  <c r="D183" s="1"/>
  <c r="D184" s="1"/>
  <c r="D185" s="1"/>
  <c r="D186" s="1"/>
  <c r="D187" s="1"/>
  <c r="D188" s="1"/>
  <c r="D189" s="1"/>
  <c r="D190" s="1"/>
  <c r="D191" s="1"/>
  <c r="D192" s="1"/>
  <c r="D193" s="1"/>
  <c r="D194" s="1"/>
  <c r="D195" s="1"/>
  <c r="D196" s="1"/>
  <c r="D197" s="1"/>
  <c r="D198" s="1"/>
  <c r="D237"/>
  <c r="D238" s="1"/>
  <c r="D239" s="1"/>
  <c r="D240" s="1"/>
  <c r="D241" s="1"/>
  <c r="D242" s="1"/>
  <c r="D243" s="1"/>
  <c r="D244" s="1"/>
  <c r="D245" s="1"/>
  <c r="D246" s="1"/>
  <c r="D247" s="1"/>
  <c r="D248" s="1"/>
  <c r="D249" s="1"/>
  <c r="D250" s="1"/>
  <c r="D251" s="1"/>
  <c r="D252" s="1"/>
  <c r="D253" s="1"/>
  <c r="D254" s="1"/>
  <c r="D255" s="1"/>
  <c r="D256" s="1"/>
  <c r="D257" s="1"/>
  <c r="K7" i="23" l="1"/>
  <c r="P1"/>
  <c r="D315" i="14"/>
  <c r="D316" s="1"/>
  <c r="D317" s="1"/>
  <c r="D318" s="1"/>
  <c r="D319" s="1"/>
  <c r="D320" s="1"/>
  <c r="D321" s="1"/>
  <c r="D322" s="1"/>
  <c r="D258"/>
  <c r="D259" s="1"/>
  <c r="D260" s="1"/>
  <c r="D261" s="1"/>
  <c r="D262" s="1"/>
  <c r="D263" s="1"/>
  <c r="D264" s="1"/>
  <c r="D265" s="1"/>
  <c r="D1" i="23" l="1"/>
  <c r="D4" i="32" s="1"/>
  <c r="D266" i="14"/>
  <c r="D267" s="1"/>
  <c r="D268" s="1"/>
  <c r="D269" s="1"/>
  <c r="J3" i="32" l="1"/>
  <c r="D3" s="1"/>
  <c r="D323" i="14"/>
  <c r="D324" s="1"/>
  <c r="D325" s="1"/>
  <c r="D326" s="1"/>
  <c r="D327" s="1"/>
  <c r="D328" s="1"/>
  <c r="D329" s="1"/>
  <c r="D330" s="1"/>
  <c r="D270"/>
  <c r="D271" s="1"/>
  <c r="D272" s="1"/>
  <c r="D273" s="1"/>
  <c r="D274" s="1"/>
  <c r="D275" s="1"/>
  <c r="D276" s="1"/>
  <c r="D277" s="1"/>
  <c r="D278" s="1"/>
  <c r="D279" s="1"/>
  <c r="D280" s="1"/>
  <c r="D281" s="1"/>
  <c r="D282" s="1"/>
  <c r="D283" s="1"/>
  <c r="D284" s="1"/>
  <c r="D285" s="1"/>
  <c r="D286" s="1"/>
  <c r="D287" s="1"/>
  <c r="D288" s="1"/>
  <c r="D289" s="1"/>
  <c r="D290" s="1"/>
  <c r="D291" l="1"/>
  <c r="D292" s="1"/>
  <c r="D293" s="1"/>
  <c r="D294" s="1"/>
  <c r="D295" s="1"/>
  <c r="D296" s="1"/>
  <c r="D297" s="1"/>
  <c r="D298" s="1"/>
  <c r="D299" s="1"/>
  <c r="D300" s="1"/>
  <c r="D301" s="1"/>
  <c r="D302" s="1"/>
  <c r="R308" l="1"/>
  <c r="R309"/>
  <c r="R310"/>
  <c r="R311"/>
  <c r="R312"/>
  <c r="R313"/>
  <c r="R314"/>
  <c r="R315"/>
  <c r="R316"/>
  <c r="R317"/>
  <c r="R318"/>
  <c r="R319"/>
  <c r="R320"/>
  <c r="R321"/>
  <c r="R322"/>
  <c r="R323"/>
  <c r="R324"/>
  <c r="R325"/>
  <c r="R326"/>
  <c r="R327"/>
  <c r="R328"/>
  <c r="R329"/>
  <c r="R330"/>
  <c r="R307"/>
  <c r="R223"/>
  <c r="R224"/>
  <c r="R225"/>
  <c r="R226"/>
  <c r="R227"/>
  <c r="R228"/>
  <c r="R229"/>
  <c r="R230"/>
  <c r="R231"/>
  <c r="R232"/>
  <c r="R233"/>
  <c r="R234"/>
  <c r="R236"/>
  <c r="R237"/>
  <c r="R238"/>
  <c r="R239"/>
  <c r="R240"/>
  <c r="R241"/>
  <c r="R242"/>
  <c r="R243"/>
  <c r="R244"/>
  <c r="R245"/>
  <c r="R246"/>
  <c r="R247"/>
  <c r="R248"/>
  <c r="R249"/>
  <c r="R250"/>
  <c r="R251"/>
  <c r="R252"/>
  <c r="R253"/>
  <c r="R254"/>
  <c r="R255"/>
  <c r="R256"/>
  <c r="R257"/>
  <c r="R258"/>
  <c r="R259"/>
  <c r="R260"/>
  <c r="R261"/>
  <c r="R262"/>
  <c r="R263"/>
  <c r="R264"/>
  <c r="R265"/>
  <c r="R266"/>
  <c r="R267"/>
  <c r="R269"/>
  <c r="R270"/>
  <c r="R271"/>
  <c r="R272"/>
  <c r="R273"/>
  <c r="R274"/>
  <c r="R275"/>
  <c r="R276"/>
  <c r="R277"/>
  <c r="R278"/>
  <c r="R279"/>
  <c r="R280"/>
  <c r="R281"/>
  <c r="R282"/>
  <c r="R283"/>
  <c r="R284"/>
  <c r="R285"/>
  <c r="R286"/>
  <c r="R287"/>
  <c r="R288"/>
  <c r="R289"/>
  <c r="R290"/>
  <c r="R291"/>
  <c r="R292"/>
  <c r="R293"/>
  <c r="R294"/>
  <c r="R295"/>
  <c r="R296"/>
  <c r="R297"/>
  <c r="R298"/>
  <c r="R299"/>
  <c r="R300"/>
  <c r="R302"/>
  <c r="R205"/>
  <c r="R206"/>
  <c r="R207"/>
  <c r="R208"/>
  <c r="R209"/>
  <c r="R210"/>
  <c r="R211"/>
  <c r="R212"/>
  <c r="R213"/>
  <c r="R214"/>
  <c r="R215"/>
  <c r="R216"/>
  <c r="R217"/>
  <c r="R218"/>
  <c r="R219"/>
  <c r="R220"/>
  <c r="R221"/>
  <c r="R222"/>
  <c r="R204"/>
  <c r="R155"/>
  <c r="R156"/>
  <c r="R157"/>
  <c r="R158"/>
  <c r="R159"/>
  <c r="R160"/>
  <c r="R161"/>
  <c r="R162"/>
  <c r="R163"/>
  <c r="R164"/>
  <c r="R165"/>
  <c r="R166"/>
  <c r="R167"/>
  <c r="R168"/>
  <c r="R169"/>
  <c r="R170"/>
  <c r="R171"/>
  <c r="R172"/>
  <c r="R173"/>
  <c r="R174"/>
  <c r="R175"/>
  <c r="R176"/>
  <c r="R177"/>
  <c r="R179"/>
  <c r="R180"/>
  <c r="R181"/>
  <c r="R182"/>
  <c r="R183"/>
  <c r="R184"/>
  <c r="R185"/>
  <c r="R186"/>
  <c r="R187"/>
  <c r="R188"/>
  <c r="R189"/>
  <c r="R190"/>
  <c r="R191"/>
  <c r="R192"/>
  <c r="R193"/>
  <c r="R194"/>
  <c r="R195"/>
  <c r="R196"/>
  <c r="R198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4"/>
  <c r="R130"/>
  <c r="R119"/>
  <c r="R120"/>
  <c r="R121"/>
  <c r="R122"/>
  <c r="R124"/>
  <c r="R118"/>
  <c r="R79"/>
  <c r="R80"/>
  <c r="R81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R107"/>
  <c r="R108"/>
  <c r="R109"/>
  <c r="R110"/>
  <c r="R111"/>
  <c r="R112"/>
  <c r="R78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46"/>
  <c r="R25"/>
  <c r="R26"/>
  <c r="R27"/>
  <c r="R28"/>
  <c r="R29"/>
  <c r="R30"/>
  <c r="R31"/>
  <c r="R32"/>
  <c r="R33"/>
  <c r="R34"/>
  <c r="R35"/>
  <c r="R36"/>
  <c r="R37"/>
  <c r="R38"/>
  <c r="R39"/>
  <c r="R40"/>
  <c r="R24"/>
  <c r="D2" i="23" l="1"/>
  <c r="D137" l="1"/>
  <c r="D138"/>
  <c r="D136"/>
  <c r="D132"/>
  <c r="D133"/>
  <c r="D134"/>
  <c r="D135"/>
  <c r="D124"/>
  <c r="D131"/>
  <c r="D130"/>
  <c r="D126"/>
  <c r="D128"/>
  <c r="D125"/>
  <c r="D127"/>
  <c r="D129"/>
  <c r="H1" i="27"/>
  <c r="AQ18" i="7"/>
  <c r="AQ17"/>
  <c r="AQ16"/>
  <c r="AP18"/>
  <c r="AP17"/>
  <c r="AP16"/>
  <c r="AO18"/>
  <c r="AO17"/>
  <c r="AO16"/>
  <c r="AN18"/>
  <c r="AM18"/>
  <c r="AM17"/>
  <c r="AM16"/>
  <c r="AL18"/>
  <c r="AL17"/>
  <c r="AL16"/>
  <c r="AK17"/>
  <c r="AK16"/>
  <c r="H64" i="27" l="1"/>
  <c r="H65"/>
  <c r="H133"/>
  <c r="H165"/>
  <c r="H129"/>
  <c r="H132"/>
  <c r="H131"/>
  <c r="H130"/>
  <c r="H128"/>
  <c r="H127"/>
  <c r="H126"/>
  <c r="H113"/>
  <c r="H124"/>
  <c r="H125"/>
  <c r="H123"/>
  <c r="H163"/>
  <c r="H160"/>
  <c r="H161"/>
  <c r="H162"/>
  <c r="H159"/>
  <c r="H164"/>
  <c r="H136"/>
  <c r="AQ19" i="7"/>
  <c r="AP19"/>
  <c r="Q201" i="14"/>
  <c r="AD21" i="7" l="1"/>
  <c r="O201" i="14" l="1"/>
  <c r="M201"/>
  <c r="F72" i="15"/>
  <c r="G72" s="1"/>
  <c r="G199" i="27" l="1"/>
  <c r="H199" s="1"/>
  <c r="G203"/>
  <c r="H203" s="1"/>
  <c r="G207"/>
  <c r="H207" s="1"/>
  <c r="G211"/>
  <c r="H211" s="1"/>
  <c r="G202"/>
  <c r="H202" s="1"/>
  <c r="G214"/>
  <c r="H214" s="1"/>
  <c r="G200"/>
  <c r="H200" s="1"/>
  <c r="G204"/>
  <c r="H204" s="1"/>
  <c r="G208"/>
  <c r="H208" s="1"/>
  <c r="G212"/>
  <c r="H212" s="1"/>
  <c r="G206"/>
  <c r="H206" s="1"/>
  <c r="G201"/>
  <c r="H201" s="1"/>
  <c r="G205"/>
  <c r="H205" s="1"/>
  <c r="G209"/>
  <c r="H209" s="1"/>
  <c r="G213"/>
  <c r="H213" s="1"/>
  <c r="G198"/>
  <c r="H198" s="1"/>
  <c r="G210"/>
  <c r="H210" s="1"/>
  <c r="J72" i="15"/>
  <c r="D72"/>
  <c r="K72"/>
  <c r="N72" l="1"/>
  <c r="L72"/>
  <c r="F53" i="49" l="1"/>
  <c r="F51"/>
  <c r="F25"/>
  <c r="G25" s="1"/>
  <c r="F24"/>
  <c r="G24" s="1"/>
  <c r="F33" i="48"/>
  <c r="G33" s="1"/>
  <c r="F34"/>
  <c r="G34" s="1"/>
  <c r="F31"/>
  <c r="F32"/>
  <c r="G32" s="1"/>
  <c r="F48" i="15"/>
  <c r="G53" i="49" l="1"/>
  <c r="K53"/>
  <c r="D51"/>
  <c r="G51"/>
  <c r="K51"/>
  <c r="J51"/>
  <c r="F27"/>
  <c r="J25"/>
  <c r="K25"/>
  <c r="D24"/>
  <c r="D25" s="1"/>
  <c r="J24"/>
  <c r="K24"/>
  <c r="F35" i="48"/>
  <c r="G35" s="1"/>
  <c r="G31"/>
  <c r="J34"/>
  <c r="J33"/>
  <c r="J32"/>
  <c r="J31"/>
  <c r="G48" i="15"/>
  <c r="J48"/>
  <c r="D48"/>
  <c r="K48"/>
  <c r="N48" l="1"/>
  <c r="L48"/>
  <c r="N31" i="48"/>
  <c r="L31"/>
  <c r="N33"/>
  <c r="L33"/>
  <c r="N25" i="49"/>
  <c r="L25"/>
  <c r="N51"/>
  <c r="L51"/>
  <c r="N32" i="48"/>
  <c r="L32"/>
  <c r="L34"/>
  <c r="N34"/>
  <c r="L24" i="49"/>
  <c r="N24"/>
  <c r="G27"/>
  <c r="K27"/>
  <c r="J35" i="48"/>
  <c r="K34"/>
  <c r="K33"/>
  <c r="K32"/>
  <c r="K31"/>
  <c r="F25" i="15"/>
  <c r="F26"/>
  <c r="G26" s="1"/>
  <c r="N35" i="48" l="1"/>
  <c r="L35"/>
  <c r="K35"/>
  <c r="J26" i="15"/>
  <c r="J25"/>
  <c r="N26" l="1"/>
  <c r="L26"/>
  <c r="N25"/>
  <c r="L25"/>
  <c r="K25"/>
  <c r="K26"/>
  <c r="D26" l="1"/>
  <c r="G25" l="1"/>
  <c r="V17" i="7" l="1"/>
  <c r="V18" s="1"/>
  <c r="V19" s="1"/>
  <c r="V20" s="1"/>
  <c r="V21" s="1"/>
  <c r="V22" s="1"/>
  <c r="V23" s="1"/>
  <c r="V24" s="1"/>
  <c r="V25" s="1"/>
  <c r="AQ21" l="1"/>
  <c r="AQ20"/>
  <c r="M116" i="14" l="1"/>
  <c r="AM19" i="7" l="1"/>
  <c r="AO19"/>
  <c r="AO21"/>
  <c r="AO20"/>
  <c r="M76" i="14" l="1"/>
  <c r="AN19" i="7"/>
  <c r="AP21" l="1"/>
  <c r="AP20"/>
  <c r="AN21"/>
  <c r="AN20"/>
  <c r="M22" i="14"/>
  <c r="AI21" i="7"/>
  <c r="AI20"/>
  <c r="AI19"/>
  <c r="AJ19"/>
  <c r="M44" i="14"/>
  <c r="R2" i="23" l="1"/>
  <c r="I78" i="7"/>
  <c r="M5" i="48"/>
  <c r="F79" i="7"/>
  <c r="F78"/>
  <c r="M55" i="15"/>
  <c r="AL19" i="7"/>
  <c r="AK20"/>
  <c r="AK21"/>
  <c r="M5" i="49" s="1"/>
  <c r="AL20" i="7"/>
  <c r="AL21"/>
  <c r="M34" i="49" s="1"/>
  <c r="I80" i="50" s="1"/>
  <c r="AJ21" i="7"/>
  <c r="AJ20"/>
  <c r="R3" i="23" l="1"/>
  <c r="S4" s="1"/>
  <c r="R5" s="1"/>
  <c r="R78" i="7"/>
  <c r="A143" i="50"/>
  <c r="A140"/>
  <c r="B140" s="1"/>
  <c r="A144"/>
  <c r="A141"/>
  <c r="B141" s="1"/>
  <c r="A142"/>
  <c r="I2"/>
  <c r="Q336" i="14"/>
  <c r="Q339"/>
  <c r="Q355"/>
  <c r="Q366"/>
  <c r="Q347"/>
  <c r="Q362"/>
  <c r="I333"/>
  <c r="Q360"/>
  <c r="Q364"/>
  <c r="Q365"/>
  <c r="Q367"/>
  <c r="Q343"/>
  <c r="Q348"/>
  <c r="Q354"/>
  <c r="Q370"/>
  <c r="Q341"/>
  <c r="Q342"/>
  <c r="Q369"/>
  <c r="Q358"/>
  <c r="Q345"/>
  <c r="Q344"/>
  <c r="Q349"/>
  <c r="Q357"/>
  <c r="Q353"/>
  <c r="Q346"/>
  <c r="Q361"/>
  <c r="Q350"/>
  <c r="Q359"/>
  <c r="Q363"/>
  <c r="Q337"/>
  <c r="Q338"/>
  <c r="Q356"/>
  <c r="Q340"/>
  <c r="Q368"/>
  <c r="Q335"/>
  <c r="Q351"/>
  <c r="Q352"/>
  <c r="I127"/>
  <c r="A47"/>
  <c r="B47" s="1"/>
  <c r="A31"/>
  <c r="B31" s="1"/>
  <c r="M5" i="15"/>
  <c r="B204" i="14"/>
  <c r="A204"/>
  <c r="Q197"/>
  <c r="B136"/>
  <c r="B144"/>
  <c r="B160"/>
  <c r="B172"/>
  <c r="B184"/>
  <c r="B192"/>
  <c r="B137"/>
  <c r="B145"/>
  <c r="B161"/>
  <c r="B169"/>
  <c r="B173"/>
  <c r="B185"/>
  <c r="B134"/>
  <c r="B146"/>
  <c r="B170"/>
  <c r="B195"/>
  <c r="B138"/>
  <c r="B162"/>
  <c r="B198"/>
  <c r="B171"/>
  <c r="B154"/>
  <c r="B179"/>
  <c r="B130"/>
  <c r="B135"/>
  <c r="B143"/>
  <c r="B147"/>
  <c r="B155"/>
  <c r="B163"/>
  <c r="A133"/>
  <c r="B133" s="1"/>
  <c r="A137"/>
  <c r="A141"/>
  <c r="B141" s="1"/>
  <c r="A145"/>
  <c r="A149"/>
  <c r="B149" s="1"/>
  <c r="A153"/>
  <c r="B153" s="1"/>
  <c r="A157"/>
  <c r="B157" s="1"/>
  <c r="A161"/>
  <c r="A165"/>
  <c r="B165" s="1"/>
  <c r="A169"/>
  <c r="A173"/>
  <c r="A177"/>
  <c r="B177" s="1"/>
  <c r="A181"/>
  <c r="B181" s="1"/>
  <c r="A185"/>
  <c r="A189"/>
  <c r="B189" s="1"/>
  <c r="A193"/>
  <c r="B193" s="1"/>
  <c r="A197"/>
  <c r="B197" s="1"/>
  <c r="A140"/>
  <c r="B140" s="1"/>
  <c r="A152"/>
  <c r="B152" s="1"/>
  <c r="A164"/>
  <c r="B164" s="1"/>
  <c r="A176"/>
  <c r="B176" s="1"/>
  <c r="A180"/>
  <c r="B180" s="1"/>
  <c r="A192"/>
  <c r="A134"/>
  <c r="A138"/>
  <c r="A142"/>
  <c r="B142" s="1"/>
  <c r="A146"/>
  <c r="A150"/>
  <c r="B150" s="1"/>
  <c r="A154"/>
  <c r="A158"/>
  <c r="B158" s="1"/>
  <c r="A162"/>
  <c r="A166"/>
  <c r="B166" s="1"/>
  <c r="A170"/>
  <c r="A174"/>
  <c r="B174" s="1"/>
  <c r="A178"/>
  <c r="B178" s="1"/>
  <c r="A182"/>
  <c r="B182" s="1"/>
  <c r="A186"/>
  <c r="B186" s="1"/>
  <c r="A190"/>
  <c r="B190" s="1"/>
  <c r="A194"/>
  <c r="B194" s="1"/>
  <c r="A198"/>
  <c r="A136"/>
  <c r="A144"/>
  <c r="A156"/>
  <c r="B156" s="1"/>
  <c r="A172"/>
  <c r="A188"/>
  <c r="B188" s="1"/>
  <c r="A131"/>
  <c r="B131" s="1"/>
  <c r="A135"/>
  <c r="A139"/>
  <c r="B139" s="1"/>
  <c r="A143"/>
  <c r="A147"/>
  <c r="A151"/>
  <c r="B151" s="1"/>
  <c r="A155"/>
  <c r="A159"/>
  <c r="B159" s="1"/>
  <c r="A163"/>
  <c r="A167"/>
  <c r="B167" s="1"/>
  <c r="A171"/>
  <c r="A175"/>
  <c r="B175" s="1"/>
  <c r="A179"/>
  <c r="A183"/>
  <c r="B183" s="1"/>
  <c r="A187"/>
  <c r="B187" s="1"/>
  <c r="A191"/>
  <c r="B191" s="1"/>
  <c r="A195"/>
  <c r="A130"/>
  <c r="A132"/>
  <c r="B132" s="1"/>
  <c r="A148"/>
  <c r="B148" s="1"/>
  <c r="A160"/>
  <c r="A168"/>
  <c r="B168" s="1"/>
  <c r="A184"/>
  <c r="A196"/>
  <c r="B196" s="1"/>
  <c r="A27"/>
  <c r="B27" s="1"/>
  <c r="Q123"/>
  <c r="A119"/>
  <c r="B119" s="1"/>
  <c r="A123"/>
  <c r="B123" s="1"/>
  <c r="A120"/>
  <c r="B120" s="1"/>
  <c r="A124"/>
  <c r="B124" s="1"/>
  <c r="A121"/>
  <c r="B121" s="1"/>
  <c r="A118"/>
  <c r="B118" s="1"/>
  <c r="A122"/>
  <c r="B122" s="1"/>
  <c r="Q153"/>
  <c r="I305"/>
  <c r="Q301"/>
  <c r="Q235"/>
  <c r="B235" s="1"/>
  <c r="Q268"/>
  <c r="B268" s="1"/>
  <c r="Q178"/>
  <c r="Q223"/>
  <c r="B223" s="1"/>
  <c r="Q225"/>
  <c r="B225" s="1"/>
  <c r="Q227"/>
  <c r="B227" s="1"/>
  <c r="Q229"/>
  <c r="Q231"/>
  <c r="Q233"/>
  <c r="Q236"/>
  <c r="B236" s="1"/>
  <c r="Q238"/>
  <c r="Q240"/>
  <c r="B240" s="1"/>
  <c r="Q242"/>
  <c r="B242" s="1"/>
  <c r="Q244"/>
  <c r="B244" s="1"/>
  <c r="Q246"/>
  <c r="Q248"/>
  <c r="B248" s="1"/>
  <c r="Q250"/>
  <c r="B250" s="1"/>
  <c r="Q252"/>
  <c r="B252" s="1"/>
  <c r="Q254"/>
  <c r="Q256"/>
  <c r="Q258"/>
  <c r="Q260"/>
  <c r="B260" s="1"/>
  <c r="Q262"/>
  <c r="Q264"/>
  <c r="Q266"/>
  <c r="Q269"/>
  <c r="B269" s="1"/>
  <c r="Q271"/>
  <c r="Q273"/>
  <c r="B273" s="1"/>
  <c r="Q275"/>
  <c r="B275" s="1"/>
  <c r="Q277"/>
  <c r="B277" s="1"/>
  <c r="Q279"/>
  <c r="Q281"/>
  <c r="B281" s="1"/>
  <c r="Q283"/>
  <c r="B283" s="1"/>
  <c r="Q285"/>
  <c r="B285" s="1"/>
  <c r="Q287"/>
  <c r="Q289"/>
  <c r="Q291"/>
  <c r="Q293"/>
  <c r="B293" s="1"/>
  <c r="Q295"/>
  <c r="B295" s="1"/>
  <c r="Q297"/>
  <c r="B297" s="1"/>
  <c r="Q299"/>
  <c r="Q302"/>
  <c r="B302" s="1"/>
  <c r="Q206"/>
  <c r="B206" s="1"/>
  <c r="Q208"/>
  <c r="B208" s="1"/>
  <c r="Q210"/>
  <c r="B210" s="1"/>
  <c r="Q212"/>
  <c r="B212" s="1"/>
  <c r="Q214"/>
  <c r="Q216"/>
  <c r="B216" s="1"/>
  <c r="Q218"/>
  <c r="B218" s="1"/>
  <c r="Q220"/>
  <c r="B220" s="1"/>
  <c r="Q222"/>
  <c r="Q224"/>
  <c r="Q226"/>
  <c r="B226" s="1"/>
  <c r="Q228"/>
  <c r="B228" s="1"/>
  <c r="Q230"/>
  <c r="B230" s="1"/>
  <c r="Q232"/>
  <c r="Q234"/>
  <c r="B234" s="1"/>
  <c r="Q237"/>
  <c r="B237" s="1"/>
  <c r="Q239"/>
  <c r="B239" s="1"/>
  <c r="Q241"/>
  <c r="B241" s="1"/>
  <c r="Q243"/>
  <c r="B243" s="1"/>
  <c r="Q245"/>
  <c r="B245" s="1"/>
  <c r="Q247"/>
  <c r="Q249"/>
  <c r="B249" s="1"/>
  <c r="Q251"/>
  <c r="B251" s="1"/>
  <c r="Q253"/>
  <c r="B253" s="1"/>
  <c r="Q255"/>
  <c r="Q257"/>
  <c r="Q259"/>
  <c r="B259" s="1"/>
  <c r="Q261"/>
  <c r="B261" s="1"/>
  <c r="Q263"/>
  <c r="B263" s="1"/>
  <c r="Q265"/>
  <c r="Q267"/>
  <c r="B267" s="1"/>
  <c r="Q270"/>
  <c r="B270" s="1"/>
  <c r="Q272"/>
  <c r="Q274"/>
  <c r="B274" s="1"/>
  <c r="Q276"/>
  <c r="B276" s="1"/>
  <c r="Q278"/>
  <c r="B278" s="1"/>
  <c r="Q280"/>
  <c r="Q282"/>
  <c r="Q284"/>
  <c r="B284" s="1"/>
  <c r="Q286"/>
  <c r="B286" s="1"/>
  <c r="Q288"/>
  <c r="B288" s="1"/>
  <c r="Q290"/>
  <c r="Q292"/>
  <c r="B292" s="1"/>
  <c r="Q294"/>
  <c r="B294" s="1"/>
  <c r="Q296"/>
  <c r="B296" s="1"/>
  <c r="Q298"/>
  <c r="Q300"/>
  <c r="Q205"/>
  <c r="Q207"/>
  <c r="B207" s="1"/>
  <c r="Q209"/>
  <c r="B209" s="1"/>
  <c r="Q211"/>
  <c r="B211" s="1"/>
  <c r="Q213"/>
  <c r="Q215"/>
  <c r="B215" s="1"/>
  <c r="Q217"/>
  <c r="B217" s="1"/>
  <c r="Q219"/>
  <c r="B219" s="1"/>
  <c r="Q221"/>
  <c r="Q204"/>
  <c r="Q119"/>
  <c r="Q121"/>
  <c r="Q124"/>
  <c r="Q120"/>
  <c r="Q122"/>
  <c r="Q118"/>
  <c r="Q155"/>
  <c r="Q157"/>
  <c r="Q159"/>
  <c r="Q161"/>
  <c r="Q156"/>
  <c r="Q158"/>
  <c r="Q160"/>
  <c r="Q162"/>
  <c r="Q163"/>
  <c r="Q165"/>
  <c r="Q167"/>
  <c r="Q169"/>
  <c r="Q171"/>
  <c r="Q173"/>
  <c r="Q175"/>
  <c r="Q177"/>
  <c r="Q180"/>
  <c r="Q182"/>
  <c r="Q184"/>
  <c r="Q186"/>
  <c r="Q188"/>
  <c r="Q190"/>
  <c r="Q192"/>
  <c r="Q194"/>
  <c r="Q196"/>
  <c r="Q131"/>
  <c r="Q133"/>
  <c r="Q135"/>
  <c r="Q137"/>
  <c r="Q139"/>
  <c r="Q141"/>
  <c r="Q143"/>
  <c r="Q145"/>
  <c r="Q147"/>
  <c r="Q149"/>
  <c r="Q151"/>
  <c r="Q154"/>
  <c r="Q164"/>
  <c r="Q166"/>
  <c r="Q168"/>
  <c r="Q170"/>
  <c r="Q172"/>
  <c r="Q174"/>
  <c r="Q176"/>
  <c r="Q179"/>
  <c r="Q181"/>
  <c r="Q183"/>
  <c r="Q185"/>
  <c r="Q187"/>
  <c r="Q189"/>
  <c r="Q191"/>
  <c r="Q193"/>
  <c r="Q195"/>
  <c r="Q198"/>
  <c r="Q132"/>
  <c r="Q134"/>
  <c r="Q136"/>
  <c r="Q138"/>
  <c r="Q140"/>
  <c r="Q142"/>
  <c r="Q144"/>
  <c r="Q146"/>
  <c r="Q148"/>
  <c r="Q150"/>
  <c r="Q152"/>
  <c r="Q130"/>
  <c r="Q307"/>
  <c r="Q308"/>
  <c r="Q310"/>
  <c r="Q312"/>
  <c r="Q314"/>
  <c r="Q316"/>
  <c r="Q318"/>
  <c r="Q320"/>
  <c r="Q322"/>
  <c r="Q324"/>
  <c r="Q326"/>
  <c r="Q328"/>
  <c r="Q330"/>
  <c r="Q309"/>
  <c r="Q311"/>
  <c r="Q313"/>
  <c r="Q315"/>
  <c r="Q317"/>
  <c r="Q319"/>
  <c r="Q321"/>
  <c r="Q323"/>
  <c r="Q325"/>
  <c r="Q327"/>
  <c r="Q329"/>
  <c r="AA16" i="7"/>
  <c r="Z16"/>
  <c r="Y16"/>
  <c r="AA30"/>
  <c r="Z30"/>
  <c r="Y30"/>
  <c r="R80" l="1"/>
  <c r="R79"/>
  <c r="E49" i="49"/>
  <c r="E22"/>
  <c r="E20" i="15"/>
  <c r="E44"/>
  <c r="E27" i="48"/>
  <c r="E68" i="15"/>
  <c r="C5"/>
  <c r="E30" i="48"/>
  <c r="C30" s="1"/>
  <c r="E29"/>
  <c r="E71" i="15"/>
  <c r="E28" i="48"/>
  <c r="A18" i="14"/>
  <c r="A19"/>
  <c r="A17"/>
  <c r="I3"/>
  <c r="A15"/>
  <c r="A16"/>
  <c r="A62" i="50"/>
  <c r="B62" s="1"/>
  <c r="A63"/>
  <c r="B63" s="1"/>
  <c r="A60"/>
  <c r="B60" s="1"/>
  <c r="A61"/>
  <c r="B61" s="1"/>
  <c r="A57"/>
  <c r="A54"/>
  <c r="A58"/>
  <c r="A55"/>
  <c r="A56"/>
  <c r="Q35" i="14"/>
  <c r="A34"/>
  <c r="B34" s="1"/>
  <c r="Q27"/>
  <c r="A37"/>
  <c r="B37" s="1"/>
  <c r="Q36"/>
  <c r="A40"/>
  <c r="B40" s="1"/>
  <c r="Q28"/>
  <c r="A24"/>
  <c r="B24" s="1"/>
  <c r="A30"/>
  <c r="B30" s="1"/>
  <c r="A36"/>
  <c r="B36" s="1"/>
  <c r="Q40"/>
  <c r="Q32"/>
  <c r="Q39"/>
  <c r="Q31"/>
  <c r="Q24"/>
  <c r="A42"/>
  <c r="B42" s="1"/>
  <c r="A26"/>
  <c r="B26" s="1"/>
  <c r="A29"/>
  <c r="B29" s="1"/>
  <c r="A32"/>
  <c r="B32" s="1"/>
  <c r="A35"/>
  <c r="B35" s="1"/>
  <c r="Q34"/>
  <c r="Q26"/>
  <c r="Q33"/>
  <c r="Q25"/>
  <c r="A33"/>
  <c r="B33" s="1"/>
  <c r="A39"/>
  <c r="B39" s="1"/>
  <c r="Q38"/>
  <c r="Q30"/>
  <c r="Q37"/>
  <c r="Q29"/>
  <c r="Q71"/>
  <c r="A38"/>
  <c r="B38" s="1"/>
  <c r="A41"/>
  <c r="B41" s="1"/>
  <c r="A25"/>
  <c r="B25" s="1"/>
  <c r="A28"/>
  <c r="B28" s="1"/>
  <c r="A62"/>
  <c r="B62" s="1"/>
  <c r="Q70"/>
  <c r="Q63"/>
  <c r="A73"/>
  <c r="B73" s="1"/>
  <c r="Q62"/>
  <c r="Q55"/>
  <c r="Q54"/>
  <c r="Q47"/>
  <c r="A49"/>
  <c r="B49" s="1"/>
  <c r="A57"/>
  <c r="B57" s="1"/>
  <c r="A46"/>
  <c r="B46" s="1"/>
  <c r="Q68"/>
  <c r="Q60"/>
  <c r="Q52"/>
  <c r="Q69"/>
  <c r="Q61"/>
  <c r="Q53"/>
  <c r="Q46"/>
  <c r="A48"/>
  <c r="B48" s="1"/>
  <c r="A58"/>
  <c r="B58" s="1"/>
  <c r="A69"/>
  <c r="B69" s="1"/>
  <c r="A53"/>
  <c r="B53" s="1"/>
  <c r="A60"/>
  <c r="B60" s="1"/>
  <c r="A67"/>
  <c r="B67" s="1"/>
  <c r="A64"/>
  <c r="B64" s="1"/>
  <c r="Q66"/>
  <c r="Q58"/>
  <c r="Q50"/>
  <c r="Q67"/>
  <c r="Q59"/>
  <c r="Q51"/>
  <c r="Q73"/>
  <c r="A74"/>
  <c r="B74" s="1"/>
  <c r="A54"/>
  <c r="B54" s="1"/>
  <c r="A65"/>
  <c r="B65" s="1"/>
  <c r="A72"/>
  <c r="B72" s="1"/>
  <c r="A56"/>
  <c r="B56" s="1"/>
  <c r="Q72"/>
  <c r="Q64"/>
  <c r="Q56"/>
  <c r="Q48"/>
  <c r="Q65"/>
  <c r="Q57"/>
  <c r="Q49"/>
  <c r="Q74"/>
  <c r="A70"/>
  <c r="B70" s="1"/>
  <c r="A66"/>
  <c r="B66" s="1"/>
  <c r="A50"/>
  <c r="B50" s="1"/>
  <c r="A61"/>
  <c r="B61" s="1"/>
  <c r="A68"/>
  <c r="B68" s="1"/>
  <c r="A52"/>
  <c r="B52" s="1"/>
  <c r="A5"/>
  <c r="B5" s="1"/>
  <c r="A20"/>
  <c r="B20" s="1"/>
  <c r="AJ22" i="7"/>
  <c r="A14" i="14"/>
  <c r="B14" s="1"/>
  <c r="A13"/>
  <c r="B13" s="1"/>
  <c r="A12"/>
  <c r="B12" s="1"/>
  <c r="A11"/>
  <c r="B11" s="1"/>
  <c r="A10"/>
  <c r="B10" s="1"/>
  <c r="A9"/>
  <c r="B9" s="1"/>
  <c r="A8"/>
  <c r="B8" s="1"/>
  <c r="A7"/>
  <c r="B7" s="1"/>
  <c r="A6"/>
  <c r="B6" s="1"/>
  <c r="A59"/>
  <c r="B59" s="1"/>
  <c r="A71"/>
  <c r="B71" s="1"/>
  <c r="A55"/>
  <c r="B55" s="1"/>
  <c r="A63"/>
  <c r="B63" s="1"/>
  <c r="A51"/>
  <c r="B51" s="1"/>
  <c r="A354"/>
  <c r="B354"/>
  <c r="A355"/>
  <c r="B355"/>
  <c r="B369"/>
  <c r="A369"/>
  <c r="A368"/>
  <c r="B368"/>
  <c r="B357"/>
  <c r="A357"/>
  <c r="A356"/>
  <c r="B356"/>
  <c r="A366"/>
  <c r="B366"/>
  <c r="A367"/>
  <c r="B367"/>
  <c r="B370"/>
  <c r="A370"/>
  <c r="B349"/>
  <c r="A349"/>
  <c r="A361"/>
  <c r="B361"/>
  <c r="B338"/>
  <c r="A338"/>
  <c r="A350"/>
  <c r="B350"/>
  <c r="A345"/>
  <c r="B345"/>
  <c r="B339"/>
  <c r="A339"/>
  <c r="A351"/>
  <c r="B351"/>
  <c r="A344"/>
  <c r="B344"/>
  <c r="A340"/>
  <c r="B340"/>
  <c r="B352"/>
  <c r="A352"/>
  <c r="A343"/>
  <c r="B343"/>
  <c r="B347"/>
  <c r="A347"/>
  <c r="A337"/>
  <c r="B337"/>
  <c r="A353"/>
  <c r="B353"/>
  <c r="B342"/>
  <c r="A342"/>
  <c r="A346"/>
  <c r="B346"/>
  <c r="B358"/>
  <c r="A358"/>
  <c r="A335"/>
  <c r="B335"/>
  <c r="B363"/>
  <c r="A363"/>
  <c r="A364"/>
  <c r="B364"/>
  <c r="A341"/>
  <c r="B341"/>
  <c r="A359"/>
  <c r="B359"/>
  <c r="B336"/>
  <c r="A336"/>
  <c r="B348"/>
  <c r="A348"/>
  <c r="A360"/>
  <c r="B360"/>
  <c r="B362"/>
  <c r="A362"/>
  <c r="A365"/>
  <c r="B365"/>
  <c r="C123"/>
  <c r="C122"/>
  <c r="G134"/>
  <c r="C134" s="1"/>
  <c r="G138"/>
  <c r="C138" s="1"/>
  <c r="G142"/>
  <c r="C142" s="1"/>
  <c r="G146"/>
  <c r="C146" s="1"/>
  <c r="G150"/>
  <c r="C150" s="1"/>
  <c r="G154"/>
  <c r="C154" s="1"/>
  <c r="G131"/>
  <c r="C131" s="1"/>
  <c r="G135"/>
  <c r="C135" s="1"/>
  <c r="G139"/>
  <c r="C139" s="1"/>
  <c r="G143"/>
  <c r="C143" s="1"/>
  <c r="G147"/>
  <c r="C147" s="1"/>
  <c r="G151"/>
  <c r="C151" s="1"/>
  <c r="G130"/>
  <c r="C130" s="1"/>
  <c r="G132"/>
  <c r="C132" s="1"/>
  <c r="G136"/>
  <c r="C136" s="1"/>
  <c r="G140"/>
  <c r="C140" s="1"/>
  <c r="G144"/>
  <c r="C144" s="1"/>
  <c r="G148"/>
  <c r="C148" s="1"/>
  <c r="G152"/>
  <c r="C152" s="1"/>
  <c r="G133"/>
  <c r="C133" s="1"/>
  <c r="G137"/>
  <c r="C137" s="1"/>
  <c r="G141"/>
  <c r="C141" s="1"/>
  <c r="G145"/>
  <c r="C145" s="1"/>
  <c r="G149"/>
  <c r="C149" s="1"/>
  <c r="G153"/>
  <c r="C153" s="1"/>
  <c r="G156"/>
  <c r="C156" s="1"/>
  <c r="G160"/>
  <c r="C160" s="1"/>
  <c r="G164"/>
  <c r="C164" s="1"/>
  <c r="G168"/>
  <c r="C168" s="1"/>
  <c r="G172"/>
  <c r="C172" s="1"/>
  <c r="G176"/>
  <c r="C176" s="1"/>
  <c r="G155"/>
  <c r="C155" s="1"/>
  <c r="G157"/>
  <c r="C157" s="1"/>
  <c r="G161"/>
  <c r="C161" s="1"/>
  <c r="G165"/>
  <c r="C165" s="1"/>
  <c r="G169"/>
  <c r="C169" s="1"/>
  <c r="G173"/>
  <c r="C173" s="1"/>
  <c r="G177"/>
  <c r="C177" s="1"/>
  <c r="G158"/>
  <c r="C158" s="1"/>
  <c r="G162"/>
  <c r="C162" s="1"/>
  <c r="G166"/>
  <c r="C166" s="1"/>
  <c r="G170"/>
  <c r="C170" s="1"/>
  <c r="G174"/>
  <c r="C174" s="1"/>
  <c r="G178"/>
  <c r="C178" s="1"/>
  <c r="G159"/>
  <c r="C159" s="1"/>
  <c r="G163"/>
  <c r="C163" s="1"/>
  <c r="G167"/>
  <c r="C167" s="1"/>
  <c r="G171"/>
  <c r="C171" s="1"/>
  <c r="G175"/>
  <c r="C175" s="1"/>
  <c r="G179"/>
  <c r="C179" s="1"/>
  <c r="G184"/>
  <c r="C184" s="1"/>
  <c r="G188"/>
  <c r="C188" s="1"/>
  <c r="G192"/>
  <c r="C192" s="1"/>
  <c r="G196"/>
  <c r="C196" s="1"/>
  <c r="G181"/>
  <c r="C181" s="1"/>
  <c r="G185"/>
  <c r="C185" s="1"/>
  <c r="G189"/>
  <c r="C189" s="1"/>
  <c r="G193"/>
  <c r="C193" s="1"/>
  <c r="G197"/>
  <c r="C197" s="1"/>
  <c r="G182"/>
  <c r="C182" s="1"/>
  <c r="G186"/>
  <c r="C186" s="1"/>
  <c r="G190"/>
  <c r="C190" s="1"/>
  <c r="G194"/>
  <c r="C194" s="1"/>
  <c r="G198"/>
  <c r="C198" s="1"/>
  <c r="G183"/>
  <c r="C183" s="1"/>
  <c r="G187"/>
  <c r="C187" s="1"/>
  <c r="G191"/>
  <c r="C191" s="1"/>
  <c r="G195"/>
  <c r="C195" s="1"/>
  <c r="G180"/>
  <c r="C180" s="1"/>
  <c r="B318"/>
  <c r="A318"/>
  <c r="A327"/>
  <c r="B327"/>
  <c r="B326"/>
  <c r="A326"/>
  <c r="B310"/>
  <c r="A310"/>
  <c r="A325"/>
  <c r="B325"/>
  <c r="A317"/>
  <c r="B317"/>
  <c r="A309"/>
  <c r="B309"/>
  <c r="B324"/>
  <c r="A324"/>
  <c r="B316"/>
  <c r="A316"/>
  <c r="A308"/>
  <c r="B308"/>
  <c r="A319"/>
  <c r="B319"/>
  <c r="A323"/>
  <c r="B323"/>
  <c r="B330"/>
  <c r="A330"/>
  <c r="B314"/>
  <c r="A314"/>
  <c r="A311"/>
  <c r="B311"/>
  <c r="A315"/>
  <c r="B315"/>
  <c r="B322"/>
  <c r="A322"/>
  <c r="A307"/>
  <c r="B307"/>
  <c r="A329"/>
  <c r="B329"/>
  <c r="A321"/>
  <c r="B321"/>
  <c r="A313"/>
  <c r="B313"/>
  <c r="A328"/>
  <c r="B328"/>
  <c r="A320"/>
  <c r="B320"/>
  <c r="A312"/>
  <c r="B312"/>
  <c r="A221"/>
  <c r="B221" s="1"/>
  <c r="A213"/>
  <c r="A205"/>
  <c r="B205" s="1"/>
  <c r="A294"/>
  <c r="A286"/>
  <c r="A278"/>
  <c r="A270"/>
  <c r="A261"/>
  <c r="A253"/>
  <c r="A245"/>
  <c r="A237"/>
  <c r="A228"/>
  <c r="A220"/>
  <c r="A212"/>
  <c r="A302"/>
  <c r="A293"/>
  <c r="A285"/>
  <c r="A277"/>
  <c r="A269"/>
  <c r="A260"/>
  <c r="A252"/>
  <c r="A244"/>
  <c r="A236"/>
  <c r="A227"/>
  <c r="A301"/>
  <c r="B301" s="1"/>
  <c r="A219"/>
  <c r="A211"/>
  <c r="A300"/>
  <c r="B300" s="1"/>
  <c r="A292"/>
  <c r="A284"/>
  <c r="A276"/>
  <c r="A267"/>
  <c r="A259"/>
  <c r="A251"/>
  <c r="A243"/>
  <c r="A234"/>
  <c r="A226"/>
  <c r="A218"/>
  <c r="A210"/>
  <c r="A299"/>
  <c r="B299" s="1"/>
  <c r="A291"/>
  <c r="B291" s="1"/>
  <c r="A283"/>
  <c r="A275"/>
  <c r="A266"/>
  <c r="B266" s="1"/>
  <c r="A258"/>
  <c r="B258" s="1"/>
  <c r="A250"/>
  <c r="A242"/>
  <c r="A233"/>
  <c r="B233" s="1"/>
  <c r="A225"/>
  <c r="A217"/>
  <c r="A209"/>
  <c r="A298"/>
  <c r="B298" s="1"/>
  <c r="A290"/>
  <c r="B290" s="1"/>
  <c r="A282"/>
  <c r="B282" s="1"/>
  <c r="A274"/>
  <c r="A265"/>
  <c r="B265" s="1"/>
  <c r="A257"/>
  <c r="B257" s="1"/>
  <c r="A249"/>
  <c r="A241"/>
  <c r="A232"/>
  <c r="B232" s="1"/>
  <c r="A224"/>
  <c r="B224" s="1"/>
  <c r="A216"/>
  <c r="A208"/>
  <c r="A297"/>
  <c r="A289"/>
  <c r="B289" s="1"/>
  <c r="A281"/>
  <c r="A273"/>
  <c r="A264"/>
  <c r="B264" s="1"/>
  <c r="A256"/>
  <c r="B256" s="1"/>
  <c r="A248"/>
  <c r="A240"/>
  <c r="A231"/>
  <c r="B231" s="1"/>
  <c r="A223"/>
  <c r="A268"/>
  <c r="A215"/>
  <c r="A207"/>
  <c r="A296"/>
  <c r="A288"/>
  <c r="A280"/>
  <c r="B280" s="1"/>
  <c r="A272"/>
  <c r="B272" s="1"/>
  <c r="A263"/>
  <c r="A255"/>
  <c r="B255" s="1"/>
  <c r="A247"/>
  <c r="B247" s="1"/>
  <c r="A239"/>
  <c r="A230"/>
  <c r="A222"/>
  <c r="B222" s="1"/>
  <c r="A214"/>
  <c r="B214" s="1"/>
  <c r="A206"/>
  <c r="A295"/>
  <c r="A287"/>
  <c r="B287" s="1"/>
  <c r="A279"/>
  <c r="B279" s="1"/>
  <c r="A271"/>
  <c r="B271" s="1"/>
  <c r="A262"/>
  <c r="B262" s="1"/>
  <c r="A254"/>
  <c r="B254" s="1"/>
  <c r="A246"/>
  <c r="B246" s="1"/>
  <c r="A238"/>
  <c r="B238" s="1"/>
  <c r="A229"/>
  <c r="B229" s="1"/>
  <c r="A235"/>
  <c r="E33" i="48"/>
  <c r="E27" i="49"/>
  <c r="E50"/>
  <c r="E51"/>
  <c r="E25" i="15"/>
  <c r="E34" i="48"/>
  <c r="E21" i="15"/>
  <c r="E36" i="48"/>
  <c r="E23" i="49"/>
  <c r="E72" i="15"/>
  <c r="E31" i="48"/>
  <c r="E53" i="49"/>
  <c r="E26" i="15"/>
  <c r="E22"/>
  <c r="E48"/>
  <c r="E35" i="48"/>
  <c r="E47" i="15"/>
  <c r="E70"/>
  <c r="E32" i="48"/>
  <c r="E24" i="49"/>
  <c r="E45" i="15"/>
  <c r="E23"/>
  <c r="E69"/>
  <c r="E24"/>
  <c r="E25" i="49"/>
  <c r="E46" i="15"/>
  <c r="C13" i="14" l="1"/>
  <c r="C35" i="48"/>
  <c r="F22" i="15"/>
  <c r="C22"/>
  <c r="C51" i="49"/>
  <c r="F23"/>
  <c r="C23"/>
  <c r="C21" i="15"/>
  <c r="C25" i="49"/>
  <c r="C53"/>
  <c r="C48" i="15"/>
  <c r="C36" i="48"/>
  <c r="C24" i="49"/>
  <c r="C34" i="48"/>
  <c r="C69" i="15"/>
  <c r="F69"/>
  <c r="C25"/>
  <c r="F47"/>
  <c r="C47"/>
  <c r="C70"/>
  <c r="F70"/>
  <c r="F50" i="49"/>
  <c r="C50"/>
  <c r="C26" i="15"/>
  <c r="C31" i="48"/>
  <c r="C46" i="15"/>
  <c r="F46"/>
  <c r="C27" i="49"/>
  <c r="C33" i="48"/>
  <c r="C72" i="15"/>
  <c r="C45"/>
  <c r="F45"/>
  <c r="C32" i="48"/>
  <c r="C28"/>
  <c r="F28"/>
  <c r="F29"/>
  <c r="C29"/>
  <c r="C5" i="49"/>
  <c r="C9" i="48"/>
  <c r="C33" i="15"/>
  <c r="C38" i="49"/>
  <c r="C5" i="48"/>
  <c r="C57" i="15"/>
  <c r="C13"/>
  <c r="C34" i="49"/>
  <c r="C9"/>
  <c r="C7" i="48"/>
  <c r="C7" i="15"/>
  <c r="C59"/>
  <c r="C55"/>
  <c r="C11" i="49"/>
  <c r="C37" i="15"/>
  <c r="C9"/>
  <c r="C61"/>
  <c r="C11"/>
  <c r="C17" i="48"/>
  <c r="C35" i="15"/>
  <c r="C11" i="48"/>
  <c r="C15"/>
  <c r="C13" i="49"/>
  <c r="C40"/>
  <c r="C13" i="48"/>
  <c r="C20" i="15"/>
  <c r="F20"/>
  <c r="F22" i="49"/>
  <c r="C22"/>
  <c r="C68" i="15"/>
  <c r="F68"/>
  <c r="F49" i="49"/>
  <c r="C49"/>
  <c r="F27" i="48"/>
  <c r="C27"/>
  <c r="C71" i="15"/>
  <c r="F71"/>
  <c r="C44"/>
  <c r="F44"/>
  <c r="B17" i="14"/>
  <c r="C17"/>
  <c r="B19"/>
  <c r="C19"/>
  <c r="C18"/>
  <c r="B18"/>
  <c r="B16"/>
  <c r="B15"/>
  <c r="C15"/>
  <c r="C19" i="49"/>
  <c r="C46"/>
  <c r="A23" i="48"/>
  <c r="E26" s="1"/>
  <c r="A25"/>
  <c r="A24"/>
  <c r="C14" i="14"/>
  <c r="C12"/>
  <c r="C11"/>
  <c r="C20"/>
  <c r="C7"/>
  <c r="G368"/>
  <c r="C368" s="1"/>
  <c r="G369"/>
  <c r="C369" s="1"/>
  <c r="G367"/>
  <c r="C367" s="1"/>
  <c r="G366"/>
  <c r="C366" s="1"/>
  <c r="G357"/>
  <c r="C357" s="1"/>
  <c r="G354"/>
  <c r="C354" s="1"/>
  <c r="G356"/>
  <c r="C356" s="1"/>
  <c r="G355"/>
  <c r="C355" s="1"/>
  <c r="G345"/>
  <c r="C345" s="1"/>
  <c r="G343"/>
  <c r="C343" s="1"/>
  <c r="G344"/>
  <c r="C344" s="1"/>
  <c r="G342"/>
  <c r="C342" s="1"/>
  <c r="G341"/>
  <c r="C341" s="1"/>
  <c r="G340"/>
  <c r="C340" s="1"/>
  <c r="G338"/>
  <c r="C338" s="1"/>
  <c r="G346"/>
  <c r="C346" s="1"/>
  <c r="G336"/>
  <c r="C336" s="1"/>
  <c r="G339"/>
  <c r="C339" s="1"/>
  <c r="G337"/>
  <c r="C337" s="1"/>
  <c r="G335"/>
  <c r="C335" s="1"/>
  <c r="G348"/>
  <c r="C348" s="1"/>
  <c r="G358"/>
  <c r="C358" s="1"/>
  <c r="G350"/>
  <c r="C350" s="1"/>
  <c r="G353"/>
  <c r="C353" s="1"/>
  <c r="G347"/>
  <c r="C347" s="1"/>
  <c r="G351"/>
  <c r="C351" s="1"/>
  <c r="G349"/>
  <c r="C349" s="1"/>
  <c r="G352"/>
  <c r="C352" s="1"/>
  <c r="G363"/>
  <c r="C363" s="1"/>
  <c r="G364"/>
  <c r="C364" s="1"/>
  <c r="G370"/>
  <c r="C370" s="1"/>
  <c r="G360"/>
  <c r="C360" s="1"/>
  <c r="G365"/>
  <c r="C365" s="1"/>
  <c r="G361"/>
  <c r="C361" s="1"/>
  <c r="G359"/>
  <c r="C359" s="1"/>
  <c r="G362"/>
  <c r="C362" s="1"/>
  <c r="C8"/>
  <c r="C10"/>
  <c r="C5"/>
  <c r="C6"/>
  <c r="C9"/>
  <c r="G308"/>
  <c r="C308" s="1"/>
  <c r="G310"/>
  <c r="C310" s="1"/>
  <c r="G312"/>
  <c r="C312" s="1"/>
  <c r="G314"/>
  <c r="C314" s="1"/>
  <c r="G309"/>
  <c r="C309" s="1"/>
  <c r="G311"/>
  <c r="C311" s="1"/>
  <c r="G313"/>
  <c r="C313" s="1"/>
  <c r="G307"/>
  <c r="C307" s="1"/>
  <c r="G317"/>
  <c r="C317" s="1"/>
  <c r="G319"/>
  <c r="C319" s="1"/>
  <c r="G321"/>
  <c r="C321" s="1"/>
  <c r="G315"/>
  <c r="C315" s="1"/>
  <c r="G316"/>
  <c r="C316" s="1"/>
  <c r="G318"/>
  <c r="C318" s="1"/>
  <c r="G320"/>
  <c r="C320" s="1"/>
  <c r="G322"/>
  <c r="C322" s="1"/>
  <c r="G324"/>
  <c r="C324" s="1"/>
  <c r="G326"/>
  <c r="C326" s="1"/>
  <c r="G328"/>
  <c r="C328" s="1"/>
  <c r="G330"/>
  <c r="C330" s="1"/>
  <c r="G325"/>
  <c r="C325" s="1"/>
  <c r="G327"/>
  <c r="C327" s="1"/>
  <c r="G329"/>
  <c r="C329" s="1"/>
  <c r="G323"/>
  <c r="C323" s="1"/>
  <c r="G236"/>
  <c r="C236" s="1"/>
  <c r="G253"/>
  <c r="C253" s="1"/>
  <c r="G269"/>
  <c r="C269" s="1"/>
  <c r="G250"/>
  <c r="C250" s="1"/>
  <c r="G266"/>
  <c r="C266" s="1"/>
  <c r="G247"/>
  <c r="C247" s="1"/>
  <c r="G263"/>
  <c r="C263" s="1"/>
  <c r="G244"/>
  <c r="C244" s="1"/>
  <c r="G260"/>
  <c r="C260" s="1"/>
  <c r="G261"/>
  <c r="C261" s="1"/>
  <c r="G242"/>
  <c r="C242" s="1"/>
  <c r="G239"/>
  <c r="C239" s="1"/>
  <c r="G252"/>
  <c r="C252" s="1"/>
  <c r="G241"/>
  <c r="C241" s="1"/>
  <c r="G257"/>
  <c r="C257" s="1"/>
  <c r="G238"/>
  <c r="C238" s="1"/>
  <c r="G254"/>
  <c r="C254" s="1"/>
  <c r="G237"/>
  <c r="C237" s="1"/>
  <c r="G251"/>
  <c r="C251" s="1"/>
  <c r="G267"/>
  <c r="C267" s="1"/>
  <c r="G248"/>
  <c r="C248" s="1"/>
  <c r="G264"/>
  <c r="C264" s="1"/>
  <c r="G249"/>
  <c r="C249" s="1"/>
  <c r="G265"/>
  <c r="C265" s="1"/>
  <c r="G246"/>
  <c r="C246" s="1"/>
  <c r="G262"/>
  <c r="C262" s="1"/>
  <c r="G243"/>
  <c r="C243" s="1"/>
  <c r="G259"/>
  <c r="C259" s="1"/>
  <c r="G240"/>
  <c r="C240" s="1"/>
  <c r="G256"/>
  <c r="C256" s="1"/>
  <c r="G245"/>
  <c r="C245" s="1"/>
  <c r="G258"/>
  <c r="C258" s="1"/>
  <c r="G255"/>
  <c r="C255" s="1"/>
  <c r="G268"/>
  <c r="C268" s="1"/>
  <c r="G271"/>
  <c r="C271" s="1"/>
  <c r="G287"/>
  <c r="C287" s="1"/>
  <c r="G270"/>
  <c r="C270" s="1"/>
  <c r="G284"/>
  <c r="C284" s="1"/>
  <c r="G300"/>
  <c r="C300" s="1"/>
  <c r="G281"/>
  <c r="C281" s="1"/>
  <c r="G297"/>
  <c r="C297" s="1"/>
  <c r="G278"/>
  <c r="C278" s="1"/>
  <c r="G294"/>
  <c r="C294" s="1"/>
  <c r="G295"/>
  <c r="C295" s="1"/>
  <c r="G273"/>
  <c r="C273" s="1"/>
  <c r="G275"/>
  <c r="C275" s="1"/>
  <c r="G291"/>
  <c r="C291" s="1"/>
  <c r="G272"/>
  <c r="C272" s="1"/>
  <c r="G288"/>
  <c r="C288" s="1"/>
  <c r="G285"/>
  <c r="C285" s="1"/>
  <c r="G301"/>
  <c r="C301" s="1"/>
  <c r="G282"/>
  <c r="C282" s="1"/>
  <c r="G298"/>
  <c r="C298" s="1"/>
  <c r="G279"/>
  <c r="C279" s="1"/>
  <c r="G283"/>
  <c r="C283" s="1"/>
  <c r="G299"/>
  <c r="C299" s="1"/>
  <c r="G280"/>
  <c r="C280" s="1"/>
  <c r="G296"/>
  <c r="C296" s="1"/>
  <c r="G277"/>
  <c r="C277" s="1"/>
  <c r="G293"/>
  <c r="C293" s="1"/>
  <c r="G274"/>
  <c r="C274" s="1"/>
  <c r="G290"/>
  <c r="C290" s="1"/>
  <c r="G276"/>
  <c r="C276" s="1"/>
  <c r="G292"/>
  <c r="C292" s="1"/>
  <c r="G289"/>
  <c r="C289" s="1"/>
  <c r="G286"/>
  <c r="C286" s="1"/>
  <c r="G302"/>
  <c r="C302" s="1"/>
  <c r="G205"/>
  <c r="C205" s="1"/>
  <c r="G209"/>
  <c r="C209" s="1"/>
  <c r="G213"/>
  <c r="G217"/>
  <c r="C217" s="1"/>
  <c r="G221"/>
  <c r="C221" s="1"/>
  <c r="G225"/>
  <c r="C225" s="1"/>
  <c r="G229"/>
  <c r="C229" s="1"/>
  <c r="G233"/>
  <c r="C233" s="1"/>
  <c r="G206"/>
  <c r="C206" s="1"/>
  <c r="G210"/>
  <c r="C210" s="1"/>
  <c r="G214"/>
  <c r="C214" s="1"/>
  <c r="G218"/>
  <c r="C218" s="1"/>
  <c r="G222"/>
  <c r="C222" s="1"/>
  <c r="G226"/>
  <c r="C226" s="1"/>
  <c r="G230"/>
  <c r="C230" s="1"/>
  <c r="G234"/>
  <c r="C234" s="1"/>
  <c r="G207"/>
  <c r="C207" s="1"/>
  <c r="G211"/>
  <c r="C211" s="1"/>
  <c r="G215"/>
  <c r="C215" s="1"/>
  <c r="G219"/>
  <c r="C219" s="1"/>
  <c r="G223"/>
  <c r="C223" s="1"/>
  <c r="G227"/>
  <c r="C227" s="1"/>
  <c r="G231"/>
  <c r="C231" s="1"/>
  <c r="G235"/>
  <c r="C235" s="1"/>
  <c r="G204"/>
  <c r="C204" s="1"/>
  <c r="G208"/>
  <c r="C208" s="1"/>
  <c r="G212"/>
  <c r="C212" s="1"/>
  <c r="G216"/>
  <c r="C216" s="1"/>
  <c r="G220"/>
  <c r="C220" s="1"/>
  <c r="G224"/>
  <c r="C224" s="1"/>
  <c r="G228"/>
  <c r="C228" s="1"/>
  <c r="G232"/>
  <c r="C232" s="1"/>
  <c r="B213"/>
  <c r="AE17" i="7"/>
  <c r="G29" i="48" l="1"/>
  <c r="J49" i="49"/>
  <c r="K49"/>
  <c r="G45" i="15"/>
  <c r="K45"/>
  <c r="J45"/>
  <c r="G44"/>
  <c r="J44"/>
  <c r="K44"/>
  <c r="G27" i="48"/>
  <c r="G49" i="49"/>
  <c r="G22"/>
  <c r="J29" i="48"/>
  <c r="K29"/>
  <c r="J50" i="49"/>
  <c r="K50"/>
  <c r="G50"/>
  <c r="J47" i="15"/>
  <c r="G47"/>
  <c r="G69"/>
  <c r="K69"/>
  <c r="J69"/>
  <c r="J70"/>
  <c r="K70"/>
  <c r="G70"/>
  <c r="G71"/>
  <c r="J71"/>
  <c r="D71"/>
  <c r="K71"/>
  <c r="G68"/>
  <c r="J68"/>
  <c r="K68"/>
  <c r="G20"/>
  <c r="J20"/>
  <c r="K20"/>
  <c r="G46"/>
  <c r="J46"/>
  <c r="G22"/>
  <c r="J22"/>
  <c r="K22"/>
  <c r="D27" i="48"/>
  <c r="K27"/>
  <c r="K22" i="49"/>
  <c r="J22"/>
  <c r="K28" i="48"/>
  <c r="G28"/>
  <c r="K23" i="49"/>
  <c r="G23"/>
  <c r="J23"/>
  <c r="C16" i="14"/>
  <c r="C17" i="15" s="1"/>
  <c r="E47" i="49"/>
  <c r="E20"/>
  <c r="F20" s="1"/>
  <c r="J26" i="48"/>
  <c r="J27" s="1"/>
  <c r="F26"/>
  <c r="E48" i="49"/>
  <c r="C48" s="1"/>
  <c r="E21"/>
  <c r="C21" s="1"/>
  <c r="C213" i="14"/>
  <c r="D28" i="48" l="1"/>
  <c r="D29" s="1"/>
  <c r="F30"/>
  <c r="G30" s="1"/>
  <c r="F47" i="49"/>
  <c r="J47" s="1"/>
  <c r="K80" i="50"/>
  <c r="A146" s="1"/>
  <c r="C47" i="49"/>
  <c r="C20"/>
  <c r="G20" s="1"/>
  <c r="K2" i="50"/>
  <c r="A64" s="1"/>
  <c r="B64" s="1"/>
  <c r="J28" i="48"/>
  <c r="F48" i="49"/>
  <c r="G48" s="1"/>
  <c r="C26" i="48"/>
  <c r="F21" i="49"/>
  <c r="G21" s="1"/>
  <c r="J20"/>
  <c r="K20"/>
  <c r="J30" i="48"/>
  <c r="K26"/>
  <c r="E19" i="15"/>
  <c r="E18"/>
  <c r="I201" i="14"/>
  <c r="G26" i="48" l="1"/>
  <c r="F19" i="15"/>
  <c r="F21"/>
  <c r="C4" i="33"/>
  <c r="E4" s="1"/>
  <c r="F18" i="15"/>
  <c r="D30" i="48"/>
  <c r="K30"/>
  <c r="G47" i="49"/>
  <c r="K47"/>
  <c r="A59" i="50"/>
  <c r="B59" s="1"/>
  <c r="A65"/>
  <c r="B65" s="1"/>
  <c r="A147"/>
  <c r="B147" s="1"/>
  <c r="A145"/>
  <c r="B145" s="1"/>
  <c r="B91"/>
  <c r="B93"/>
  <c r="B95"/>
  <c r="B103"/>
  <c r="B105"/>
  <c r="B107"/>
  <c r="B111"/>
  <c r="B113"/>
  <c r="B115"/>
  <c r="B117"/>
  <c r="B123"/>
  <c r="B125"/>
  <c r="B127"/>
  <c r="B131"/>
  <c r="B133"/>
  <c r="B135"/>
  <c r="B137"/>
  <c r="B139"/>
  <c r="B96"/>
  <c r="B102"/>
  <c r="B106"/>
  <c r="B108"/>
  <c r="B112"/>
  <c r="B116"/>
  <c r="B120"/>
  <c r="B122"/>
  <c r="B126"/>
  <c r="B136"/>
  <c r="B144"/>
  <c r="B90"/>
  <c r="B92"/>
  <c r="B104"/>
  <c r="B114"/>
  <c r="B124"/>
  <c r="B128"/>
  <c r="B134"/>
  <c r="B138"/>
  <c r="B142"/>
  <c r="B146"/>
  <c r="B143"/>
  <c r="B58"/>
  <c r="B54"/>
  <c r="B55"/>
  <c r="B57"/>
  <c r="B56"/>
  <c r="J48" i="49"/>
  <c r="K48"/>
  <c r="K21"/>
  <c r="J21"/>
  <c r="D31" i="48"/>
  <c r="D32" s="1"/>
  <c r="D33" s="1"/>
  <c r="D34" s="1"/>
  <c r="D35" s="1"/>
  <c r="Y34" i="7"/>
  <c r="Z20"/>
  <c r="Y20"/>
  <c r="V27"/>
  <c r="V28" s="1"/>
  <c r="V29" s="1"/>
  <c r="V30" s="1"/>
  <c r="V31" s="1"/>
  <c r="V32" s="1"/>
  <c r="V33" s="1"/>
  <c r="V34" s="1"/>
  <c r="V35" s="1"/>
  <c r="V36" s="1"/>
  <c r="V37" s="1"/>
  <c r="V38" s="1"/>
  <c r="V39" s="1"/>
  <c r="V40" s="1"/>
  <c r="V41" s="1"/>
  <c r="V42" s="1"/>
  <c r="V43" s="1"/>
  <c r="V44" s="1"/>
  <c r="V45" s="1"/>
  <c r="V46" s="1"/>
  <c r="V47" s="1"/>
  <c r="V48" s="1"/>
  <c r="V49" s="1"/>
  <c r="V50" s="1"/>
  <c r="V51" s="1"/>
  <c r="V52" s="1"/>
  <c r="V53" s="1"/>
  <c r="V54" s="1"/>
  <c r="V55" s="1"/>
  <c r="V56" s="1"/>
  <c r="V57" s="1"/>
  <c r="V58" s="1"/>
  <c r="V59" s="1"/>
  <c r="V60" s="1"/>
  <c r="V61" s="1"/>
  <c r="V62" s="1"/>
  <c r="V63" s="1"/>
  <c r="V64" s="1"/>
  <c r="V65" s="1"/>
  <c r="V66" s="1"/>
  <c r="V67" s="1"/>
  <c r="V68" s="1"/>
  <c r="V69" s="1"/>
  <c r="V70" s="1"/>
  <c r="V71" s="1"/>
  <c r="V72" s="1"/>
  <c r="V73" s="1"/>
  <c r="V74" s="1"/>
  <c r="V75" s="1"/>
  <c r="V76" s="1"/>
  <c r="V77" s="1"/>
  <c r="V78" s="1"/>
  <c r="V79" s="1"/>
  <c r="V80" s="1"/>
  <c r="V81" s="1"/>
  <c r="V82" s="1"/>
  <c r="V83" s="1"/>
  <c r="V84" s="1"/>
  <c r="V85" s="1"/>
  <c r="V86" s="1"/>
  <c r="V87" s="1"/>
  <c r="V88" s="1"/>
  <c r="V89" s="1"/>
  <c r="V90" s="1"/>
  <c r="V91" s="1"/>
  <c r="V92" s="1"/>
  <c r="V93" s="1"/>
  <c r="V94" s="1"/>
  <c r="V95" s="1"/>
  <c r="V96" s="1"/>
  <c r="V97" s="1"/>
  <c r="V98" s="1"/>
  <c r="V99" s="1"/>
  <c r="V100" s="1"/>
  <c r="U17"/>
  <c r="U18" s="1"/>
  <c r="U19" s="1"/>
  <c r="U20" s="1"/>
  <c r="U22" s="1"/>
  <c r="U23" s="1"/>
  <c r="U24" s="1"/>
  <c r="U25" s="1"/>
  <c r="U26" s="1"/>
  <c r="U27" s="1"/>
  <c r="U28" s="1"/>
  <c r="U29" s="1"/>
  <c r="U30" s="1"/>
  <c r="U31" s="1"/>
  <c r="U32" s="1"/>
  <c r="U33" s="1"/>
  <c r="U34" s="1"/>
  <c r="U35" s="1"/>
  <c r="U36" s="1"/>
  <c r="U37" s="1"/>
  <c r="U38" s="1"/>
  <c r="U39" s="1"/>
  <c r="U40" s="1"/>
  <c r="U41" s="1"/>
  <c r="U42" s="1"/>
  <c r="U43" s="1"/>
  <c r="U44" s="1"/>
  <c r="J21" i="15" l="1"/>
  <c r="G21"/>
  <c r="K21"/>
  <c r="A52" i="49"/>
  <c r="E52" s="1"/>
  <c r="F52" s="1"/>
  <c r="A26"/>
  <c r="E26" s="1"/>
  <c r="F26" s="1"/>
  <c r="J26" s="1"/>
  <c r="Y31" i="7"/>
  <c r="Y32" s="1"/>
  <c r="Y33" s="1"/>
  <c r="AA24"/>
  <c r="AE16"/>
  <c r="Z34"/>
  <c r="Y38" s="1"/>
  <c r="Z31"/>
  <c r="Z32" s="1"/>
  <c r="Z33" s="1"/>
  <c r="AE18"/>
  <c r="AF18" s="1"/>
  <c r="Z17"/>
  <c r="Z18" s="1"/>
  <c r="Z19" s="1"/>
  <c r="Z21"/>
  <c r="Y21"/>
  <c r="Y17"/>
  <c r="Y18" s="1"/>
  <c r="Y19" s="1"/>
  <c r="Y24"/>
  <c r="J27" i="49" l="1"/>
  <c r="N26"/>
  <c r="L26"/>
  <c r="C52"/>
  <c r="D52"/>
  <c r="D53" s="1"/>
  <c r="J52"/>
  <c r="G52"/>
  <c r="K52"/>
  <c r="D26"/>
  <c r="D27" s="1"/>
  <c r="K26"/>
  <c r="C26"/>
  <c r="G26" s="1"/>
  <c r="Z35" i="7"/>
  <c r="Y35"/>
  <c r="Y22"/>
  <c r="Z22"/>
  <c r="J53" i="49" l="1"/>
  <c r="N52"/>
  <c r="L52"/>
  <c r="N27"/>
  <c r="L27"/>
  <c r="Y36" i="7"/>
  <c r="Y37" s="1"/>
  <c r="Z36"/>
  <c r="Z23"/>
  <c r="Y23"/>
  <c r="L53" i="49" l="1"/>
  <c r="N53"/>
  <c r="Z24" i="7"/>
  <c r="Z25" l="1"/>
  <c r="Z26" l="1"/>
  <c r="AF17" s="1"/>
  <c r="I44" i="14" l="1"/>
  <c r="Z37" i="7" l="1"/>
  <c r="Z38" s="1"/>
  <c r="Z39" s="1"/>
  <c r="Z40" s="1"/>
  <c r="AF16" s="1"/>
  <c r="AM20" l="1"/>
  <c r="AM21"/>
  <c r="M33" i="15" l="1"/>
  <c r="A79" i="14" l="1"/>
  <c r="B79" s="1"/>
  <c r="A83"/>
  <c r="B83" s="1"/>
  <c r="A87"/>
  <c r="B87" s="1"/>
  <c r="A91"/>
  <c r="B91" s="1"/>
  <c r="A95"/>
  <c r="B95" s="1"/>
  <c r="A99"/>
  <c r="B99" s="1"/>
  <c r="A103"/>
  <c r="B103" s="1"/>
  <c r="A107"/>
  <c r="B107" s="1"/>
  <c r="A111"/>
  <c r="B111" s="1"/>
  <c r="A78"/>
  <c r="B78" s="1"/>
  <c r="A80"/>
  <c r="B80" s="1"/>
  <c r="A84"/>
  <c r="B84" s="1"/>
  <c r="A88"/>
  <c r="B88" s="1"/>
  <c r="A92"/>
  <c r="B92" s="1"/>
  <c r="A96"/>
  <c r="B96" s="1"/>
  <c r="A100"/>
  <c r="B100" s="1"/>
  <c r="A104"/>
  <c r="B104" s="1"/>
  <c r="A108"/>
  <c r="B108" s="1"/>
  <c r="A112"/>
  <c r="B112" s="1"/>
  <c r="A81"/>
  <c r="B81" s="1"/>
  <c r="A85"/>
  <c r="B85" s="1"/>
  <c r="A89"/>
  <c r="B89" s="1"/>
  <c r="A93"/>
  <c r="B93" s="1"/>
  <c r="A97"/>
  <c r="B97" s="1"/>
  <c r="A101"/>
  <c r="B101" s="1"/>
  <c r="A105"/>
  <c r="B105" s="1"/>
  <c r="A109"/>
  <c r="B109" s="1"/>
  <c r="A113"/>
  <c r="B113" s="1"/>
  <c r="A82"/>
  <c r="B82" s="1"/>
  <c r="A86"/>
  <c r="B86" s="1"/>
  <c r="A90"/>
  <c r="B90" s="1"/>
  <c r="A94"/>
  <c r="B94" s="1"/>
  <c r="A98"/>
  <c r="B98" s="1"/>
  <c r="A102"/>
  <c r="B102" s="1"/>
  <c r="A106"/>
  <c r="B106" s="1"/>
  <c r="A110"/>
  <c r="B110" s="1"/>
  <c r="A114"/>
  <c r="B114" s="1"/>
  <c r="Q114"/>
  <c r="Q113"/>
  <c r="Q79"/>
  <c r="Q81"/>
  <c r="Q83"/>
  <c r="Q85"/>
  <c r="Q87"/>
  <c r="Q89"/>
  <c r="Q91"/>
  <c r="Q93"/>
  <c r="Q95"/>
  <c r="Q80"/>
  <c r="Q82"/>
  <c r="Q84"/>
  <c r="Q86"/>
  <c r="Q88"/>
  <c r="Q90"/>
  <c r="Q92"/>
  <c r="Q94"/>
  <c r="Q96"/>
  <c r="Q78"/>
  <c r="Q97"/>
  <c r="Q99"/>
  <c r="Q101"/>
  <c r="Q103"/>
  <c r="Q105"/>
  <c r="Q107"/>
  <c r="Q109"/>
  <c r="Q111"/>
  <c r="Q98"/>
  <c r="Q100"/>
  <c r="Q102"/>
  <c r="Q104"/>
  <c r="Q106"/>
  <c r="Q108"/>
  <c r="Q110"/>
  <c r="Q112"/>
  <c r="I76"/>
  <c r="I116"/>
  <c r="C124" l="1"/>
  <c r="C120" l="1"/>
  <c r="C121"/>
  <c r="C118"/>
  <c r="C119"/>
  <c r="C41" i="15"/>
  <c r="E42" l="1"/>
  <c r="C42" s="1"/>
  <c r="E43"/>
  <c r="C65"/>
  <c r="E66" l="1"/>
  <c r="C66" s="1"/>
  <c r="E67"/>
  <c r="F67" s="1"/>
  <c r="F42"/>
  <c r="G42" s="1"/>
  <c r="F43"/>
  <c r="C43"/>
  <c r="C67" l="1"/>
  <c r="G67" s="1"/>
  <c r="F66"/>
  <c r="G66" s="1"/>
  <c r="K42"/>
  <c r="J42"/>
  <c r="G43"/>
  <c r="J67"/>
  <c r="K67"/>
  <c r="J43"/>
  <c r="K43"/>
  <c r="K66" l="1"/>
  <c r="J66"/>
  <c r="AK19" i="7" l="1"/>
  <c r="I22" i="14"/>
  <c r="C23" i="15" l="1"/>
  <c r="F23"/>
  <c r="G23" l="1"/>
  <c r="K23"/>
  <c r="J23"/>
  <c r="D23"/>
  <c r="C24"/>
  <c r="F24"/>
  <c r="J24" s="1"/>
  <c r="N23" l="1"/>
  <c r="L23"/>
  <c r="N24"/>
  <c r="L24"/>
  <c r="G24"/>
  <c r="D24"/>
  <c r="D25" s="1"/>
  <c r="K24"/>
  <c r="C19" l="1"/>
  <c r="C18" l="1"/>
  <c r="G18" l="1"/>
  <c r="K19"/>
  <c r="J19"/>
  <c r="G19"/>
  <c r="K18"/>
  <c r="J18"/>
  <c r="F13" i="30" a="1"/>
  <c r="F14" l="1"/>
  <c r="F13"/>
  <c r="G13" s="1"/>
  <c r="C2" i="23" l="1"/>
  <c r="D122" l="1"/>
  <c r="D123"/>
  <c r="D41"/>
  <c r="D113"/>
  <c r="G39" i="27"/>
  <c r="H39" s="1"/>
  <c r="G26" i="35" l="1"/>
  <c r="G18"/>
  <c r="G158" i="27"/>
  <c r="H158" s="1"/>
  <c r="G14" i="35"/>
  <c r="G25"/>
  <c r="G17"/>
  <c r="G157" i="27"/>
  <c r="H157" s="1"/>
  <c r="G13" i="35"/>
  <c r="G23"/>
  <c r="G155" i="27"/>
  <c r="H155" s="1"/>
  <c r="G11" i="35"/>
  <c r="G24"/>
  <c r="G156" i="27"/>
  <c r="H156" s="1"/>
  <c r="G12" i="35"/>
  <c r="G6"/>
  <c r="G154" i="27"/>
  <c r="H154" s="1"/>
  <c r="D121" i="23"/>
  <c r="G5" i="35"/>
  <c r="G153" i="27"/>
  <c r="H153" s="1"/>
  <c r="D120" i="23"/>
  <c r="G15" i="35"/>
  <c r="G21"/>
  <c r="G147" i="27"/>
  <c r="H147" s="1"/>
  <c r="G151"/>
  <c r="H151" s="1"/>
  <c r="G9" i="35"/>
  <c r="G145" i="27"/>
  <c r="H145" s="1"/>
  <c r="G4" i="35"/>
  <c r="G142" i="27"/>
  <c r="H142" s="1"/>
  <c r="G20" i="35"/>
  <c r="G150" i="27"/>
  <c r="H150" s="1"/>
  <c r="G8" i="35"/>
  <c r="G144" i="27"/>
  <c r="H144" s="1"/>
  <c r="G7" i="35"/>
  <c r="G143" i="27"/>
  <c r="H143" s="1"/>
  <c r="G19" i="35"/>
  <c r="G149" i="27"/>
  <c r="H149" s="1"/>
  <c r="G3" i="35"/>
  <c r="G141" i="27"/>
  <c r="H141" s="1"/>
  <c r="G10" i="35"/>
  <c r="G146" i="27"/>
  <c r="H146" s="1"/>
  <c r="G16" i="35"/>
  <c r="G22"/>
  <c r="G148" i="27"/>
  <c r="H148" s="1"/>
  <c r="G152"/>
  <c r="H152" s="1"/>
  <c r="G117"/>
  <c r="H117" s="1"/>
  <c r="D114" i="23"/>
  <c r="D47"/>
  <c r="G42" i="27"/>
  <c r="H42" s="1"/>
  <c r="D52" i="23"/>
  <c r="G57" i="27"/>
  <c r="H57" s="1"/>
  <c r="G102"/>
  <c r="H102" s="1"/>
  <c r="D69" i="23"/>
  <c r="D94"/>
  <c r="G37" i="27"/>
  <c r="H37" s="1"/>
  <c r="G86"/>
  <c r="H86" s="1"/>
  <c r="D27" i="23"/>
  <c r="D45"/>
  <c r="G41" i="27"/>
  <c r="H41" s="1"/>
  <c r="G53"/>
  <c r="H53" s="1"/>
  <c r="D44" i="23"/>
  <c r="G91" i="27"/>
  <c r="H91" s="1"/>
  <c r="D9" i="23"/>
  <c r="D68"/>
  <c r="G33" i="27"/>
  <c r="H33" s="1"/>
  <c r="L28" i="48" s="1"/>
  <c r="N28" s="1"/>
  <c r="G104" i="27"/>
  <c r="H104" s="1"/>
  <c r="D71" i="23"/>
  <c r="G14" i="27"/>
  <c r="H14" s="1"/>
  <c r="D73" i="23"/>
  <c r="D87"/>
  <c r="G78" i="27"/>
  <c r="H78" s="1"/>
  <c r="L48" i="49" s="1"/>
  <c r="N48" s="1"/>
  <c r="D57" i="23"/>
  <c r="G47" i="27"/>
  <c r="H47" s="1"/>
  <c r="D32" i="23"/>
  <c r="G84" i="27"/>
  <c r="H84" s="1"/>
  <c r="L42" i="15" s="1"/>
  <c r="N42" s="1"/>
  <c r="D64" i="23"/>
  <c r="G63" i="27"/>
  <c r="H63" s="1"/>
  <c r="D30" i="23"/>
  <c r="G83" i="27"/>
  <c r="H83" s="1"/>
  <c r="G21"/>
  <c r="H21" s="1"/>
  <c r="D34" i="23"/>
  <c r="D110"/>
  <c r="G107" i="27"/>
  <c r="H107" s="1"/>
  <c r="D51" i="23"/>
  <c r="G44" i="27"/>
  <c r="H44" s="1"/>
  <c r="D84" i="23"/>
  <c r="G73" i="27"/>
  <c r="H73" s="1"/>
  <c r="D26" i="23"/>
  <c r="G81" i="27"/>
  <c r="H81" s="1"/>
  <c r="D91" i="23"/>
  <c r="G17" i="27"/>
  <c r="H17" s="1"/>
  <c r="D15" i="23"/>
  <c r="G94" i="27"/>
  <c r="H94" s="1"/>
  <c r="G49"/>
  <c r="H49" s="1"/>
  <c r="D61" i="23"/>
  <c r="D14"/>
  <c r="G99" i="27"/>
  <c r="H99" s="1"/>
  <c r="D42" i="23"/>
  <c r="G52" i="27"/>
  <c r="H52" s="1"/>
  <c r="D17" i="23"/>
  <c r="G95" i="27"/>
  <c r="H95" s="1"/>
  <c r="L66" i="15" s="1"/>
  <c r="N66" s="1"/>
  <c r="D90" i="23"/>
  <c r="G16" i="27"/>
  <c r="H16" s="1"/>
  <c r="D11" i="23"/>
  <c r="G92" i="27"/>
  <c r="H92" s="1"/>
  <c r="G32"/>
  <c r="H32" s="1"/>
  <c r="D104" i="23"/>
  <c r="G97" i="27"/>
  <c r="H97" s="1"/>
  <c r="D10" i="23"/>
  <c r="D29"/>
  <c r="G87" i="27"/>
  <c r="H87" s="1"/>
  <c r="D18" i="23"/>
  <c r="G101" i="27"/>
  <c r="H101" s="1"/>
  <c r="L67" i="15" s="1"/>
  <c r="N67" s="1"/>
  <c r="D20" i="23"/>
  <c r="G23" i="27"/>
  <c r="H23" s="1"/>
  <c r="D111" i="23"/>
  <c r="D88"/>
  <c r="G75" i="27"/>
  <c r="H75" s="1"/>
  <c r="D6" i="23"/>
  <c r="G7" i="27"/>
  <c r="H7" s="1"/>
  <c r="D53" i="23"/>
  <c r="G45" i="27"/>
  <c r="H45" s="1"/>
  <c r="D67" i="23"/>
  <c r="G31" i="27"/>
  <c r="H31" s="1"/>
  <c r="L27" i="48" s="1"/>
  <c r="N27" s="1"/>
  <c r="G121" i="27"/>
  <c r="H121" s="1"/>
  <c r="L22" i="49" s="1"/>
  <c r="N22" s="1"/>
  <c r="D118" i="23"/>
  <c r="G70" i="27"/>
  <c r="H70" s="1"/>
  <c r="D78" i="23"/>
  <c r="G62" i="27"/>
  <c r="H62" s="1"/>
  <c r="D62" i="23"/>
  <c r="D16"/>
  <c r="G100" i="27"/>
  <c r="H100" s="1"/>
  <c r="D112" i="23"/>
  <c r="D85"/>
  <c r="G77" i="27"/>
  <c r="H77" s="1"/>
  <c r="D36" i="23"/>
  <c r="G11" i="27"/>
  <c r="H11" s="1"/>
  <c r="L21" i="15" s="1"/>
  <c r="N21" s="1"/>
  <c r="G88" i="27"/>
  <c r="H88" s="1"/>
  <c r="D31" i="23"/>
  <c r="D65"/>
  <c r="G28" i="27"/>
  <c r="H28" s="1"/>
  <c r="L30" i="48" s="1"/>
  <c r="N30" s="1"/>
  <c r="D72" i="23"/>
  <c r="G13" i="27"/>
  <c r="H13" s="1"/>
  <c r="L22" i="15" s="1"/>
  <c r="N22" s="1"/>
  <c r="G110" i="27"/>
  <c r="H110" s="1"/>
  <c r="D97" i="23"/>
  <c r="D96"/>
  <c r="G109" i="27"/>
  <c r="H109" s="1"/>
  <c r="D99" i="23"/>
  <c r="G111" i="27"/>
  <c r="H111" s="1"/>
  <c r="G27"/>
  <c r="H27" s="1"/>
  <c r="D102" i="23"/>
  <c r="D80"/>
  <c r="G71" i="27"/>
  <c r="H71" s="1"/>
  <c r="L21" i="49" s="1"/>
  <c r="N21" s="1"/>
  <c r="D103" i="23"/>
  <c r="G30" i="27"/>
  <c r="H30" s="1"/>
  <c r="G15"/>
  <c r="H15" s="1"/>
  <c r="D74" i="23"/>
  <c r="G60" i="27"/>
  <c r="H60" s="1"/>
  <c r="D58" i="23"/>
  <c r="D46"/>
  <c r="G54" i="27"/>
  <c r="H54" s="1"/>
  <c r="D93" i="23"/>
  <c r="G34" i="27"/>
  <c r="H34" s="1"/>
  <c r="D92" i="23"/>
  <c r="G112" i="27"/>
  <c r="H112" s="1"/>
  <c r="G122"/>
  <c r="H122" s="1"/>
  <c r="D119" i="23"/>
  <c r="G93" i="27"/>
  <c r="H93" s="1"/>
  <c r="D13" i="23"/>
  <c r="D116"/>
  <c r="G119" i="27"/>
  <c r="H119" s="1"/>
  <c r="L44" i="15" s="1"/>
  <c r="N44" s="1"/>
  <c r="D24" i="23"/>
  <c r="G80" i="27"/>
  <c r="H80" s="1"/>
  <c r="D115" i="23"/>
  <c r="G118" i="27"/>
  <c r="H118" s="1"/>
  <c r="D21" i="23"/>
  <c r="G19" i="27"/>
  <c r="H19" s="1"/>
  <c r="D70" i="23"/>
  <c r="G103" i="27"/>
  <c r="H103" s="1"/>
  <c r="D7" i="23"/>
  <c r="G90" i="27"/>
  <c r="H90" s="1"/>
  <c r="G9"/>
  <c r="H9" s="1"/>
  <c r="D38" i="23"/>
  <c r="D101"/>
  <c r="G26" i="27"/>
  <c r="H26" s="1"/>
  <c r="D5" i="23"/>
  <c r="D28"/>
  <c r="G82" i="27"/>
  <c r="H82" s="1"/>
  <c r="D100" i="23"/>
  <c r="G36" i="27"/>
  <c r="H36" s="1"/>
  <c r="D4" i="23"/>
  <c r="G25" i="27"/>
  <c r="H25" s="1"/>
  <c r="D49" i="23"/>
  <c r="G43" i="27"/>
  <c r="H43" s="1"/>
  <c r="G40"/>
  <c r="H40" s="1"/>
  <c r="D43" i="23"/>
  <c r="D109"/>
  <c r="G106" i="27"/>
  <c r="H106" s="1"/>
  <c r="D25" i="23"/>
  <c r="G85" i="27"/>
  <c r="H85" s="1"/>
  <c r="G24"/>
  <c r="H24" s="1"/>
  <c r="D22" i="23"/>
  <c r="D86"/>
  <c r="G74" i="27"/>
  <c r="H74" s="1"/>
  <c r="L47" i="49" s="1"/>
  <c r="N47" s="1"/>
  <c r="G50" i="27"/>
  <c r="H50" s="1"/>
  <c r="D63" i="23"/>
  <c r="D82"/>
  <c r="G72" i="27"/>
  <c r="H72" s="1"/>
  <c r="D56" i="23"/>
  <c r="G59" i="27"/>
  <c r="H59" s="1"/>
  <c r="G105"/>
  <c r="H105" s="1"/>
  <c r="D108" i="23"/>
  <c r="D54"/>
  <c r="G58" i="27"/>
  <c r="H58" s="1"/>
  <c r="G120"/>
  <c r="H120" s="1"/>
  <c r="L49" i="49" s="1"/>
  <c r="N49" s="1"/>
  <c r="D117" i="23"/>
  <c r="D107"/>
  <c r="G20" i="27"/>
  <c r="H20" s="1"/>
  <c r="D23" i="23"/>
  <c r="D35"/>
  <c r="G10" i="27"/>
  <c r="H10" s="1"/>
  <c r="L20" i="15" s="1"/>
  <c r="N20" s="1"/>
  <c r="D37" i="23"/>
  <c r="G12" i="27"/>
  <c r="H12" s="1"/>
  <c r="G66"/>
  <c r="H66" s="1"/>
  <c r="D75" i="23"/>
  <c r="G98" i="27"/>
  <c r="H98" s="1"/>
  <c r="D12" i="23"/>
  <c r="D95"/>
  <c r="G35" i="27"/>
  <c r="H35" s="1"/>
  <c r="G29"/>
  <c r="H29" s="1"/>
  <c r="L29" i="48" s="1"/>
  <c r="N29" s="1"/>
  <c r="D66" i="23"/>
  <c r="D106"/>
  <c r="D40"/>
  <c r="G51" i="27"/>
  <c r="H51" s="1"/>
  <c r="D48" i="23"/>
  <c r="G55" i="27"/>
  <c r="H55" s="1"/>
  <c r="D33" i="23"/>
  <c r="G89" i="27"/>
  <c r="H89" s="1"/>
  <c r="L43" i="15" s="1"/>
  <c r="N43" s="1"/>
  <c r="D77" i="23"/>
  <c r="G67" i="27"/>
  <c r="H67" s="1"/>
  <c r="D76" i="23"/>
  <c r="G69" i="27"/>
  <c r="H69" s="1"/>
  <c r="D79" i="23"/>
  <c r="G68" i="27"/>
  <c r="H68" s="1"/>
  <c r="L20" i="49" s="1"/>
  <c r="G18" i="27"/>
  <c r="H18" s="1"/>
  <c r="D81" i="23"/>
  <c r="D59"/>
  <c r="G48" i="27"/>
  <c r="H48" s="1"/>
  <c r="G61"/>
  <c r="H61" s="1"/>
  <c r="D60" i="23"/>
  <c r="G46" i="27"/>
  <c r="H46" s="1"/>
  <c r="D55" i="23"/>
  <c r="D105"/>
  <c r="D8"/>
  <c r="G96" i="27"/>
  <c r="H96" s="1"/>
  <c r="D50" i="23"/>
  <c r="G56" i="27"/>
  <c r="H56" s="1"/>
  <c r="D83" i="23"/>
  <c r="G76" i="27"/>
  <c r="H76" s="1"/>
  <c r="D39" i="23"/>
  <c r="G38" i="27"/>
  <c r="H38" s="1"/>
  <c r="G79"/>
  <c r="H79" s="1"/>
  <c r="D89" i="23"/>
  <c r="D98"/>
  <c r="G108" i="27"/>
  <c r="H108" s="1"/>
  <c r="D19" i="23"/>
  <c r="G22" i="27"/>
  <c r="H22" s="1"/>
  <c r="L68" i="15" s="1"/>
  <c r="N68" s="1"/>
  <c r="L26" i="48" l="1"/>
  <c r="N26" s="1"/>
  <c r="L23" i="49"/>
  <c r="N23" s="1"/>
  <c r="L50"/>
  <c r="N50" s="1"/>
  <c r="L19" i="15"/>
  <c r="N19" s="1"/>
  <c r="L46"/>
  <c r="N46" s="1"/>
  <c r="L71"/>
  <c r="N71" s="1"/>
  <c r="L45"/>
  <c r="N45" s="1"/>
  <c r="L69"/>
  <c r="N69" s="1"/>
  <c r="L47"/>
  <c r="N47" s="1"/>
  <c r="L70"/>
  <c r="N70" s="1"/>
  <c r="L18"/>
  <c r="N18" s="1"/>
  <c r="N20" i="49"/>
  <c r="N49" i="15" l="1"/>
  <c r="N73"/>
  <c r="N28" i="49"/>
  <c r="N37" i="48"/>
  <c r="N54" i="49"/>
  <c r="N27" i="15" l="1"/>
</calcChain>
</file>

<file path=xl/connections.xml><?xml version="1.0" encoding="utf-8"?>
<connections xmlns="http://schemas.openxmlformats.org/spreadsheetml/2006/main">
  <connection id="1" interval="30" name="Подключение" type="4" refreshedVersion="3" background="1" refreshOnLoad="1" saveData="1">
    <webPr sourceData="1" parsePre="1" consecutive="1" xl2000="1" url="https://news.yandex.ru/quotes/23.html"/>
  </connection>
</connections>
</file>

<file path=xl/sharedStrings.xml><?xml version="1.0" encoding="utf-8"?>
<sst xmlns="http://schemas.openxmlformats.org/spreadsheetml/2006/main" count="4185" uniqueCount="619">
  <si>
    <t>№</t>
  </si>
  <si>
    <t>Артикул</t>
  </si>
  <si>
    <t>Номенклатура</t>
  </si>
  <si>
    <t>Ед.</t>
  </si>
  <si>
    <t>372.91.141</t>
  </si>
  <si>
    <t>Крепления FREE Flap / Swing / Up</t>
  </si>
  <si>
    <t>шт</t>
  </si>
  <si>
    <t>372.91.135</t>
  </si>
  <si>
    <t>Заглушка FREE flap 1.7 белая</t>
  </si>
  <si>
    <t>372.91.171</t>
  </si>
  <si>
    <t>372.91.172</t>
  </si>
  <si>
    <t>372.91.236</t>
  </si>
  <si>
    <t>Заглушка FREE flap 3.15, белая</t>
  </si>
  <si>
    <t>372.91.241</t>
  </si>
  <si>
    <t>372.91.242</t>
  </si>
  <si>
    <t>329.03.640</t>
  </si>
  <si>
    <t>Петля Duomatic Standard угол раскрытия  120 , для накладной двери, схема  52/5,5мм</t>
  </si>
  <si>
    <t>372.37.026</t>
  </si>
  <si>
    <t>Заглушка FREE FOLD белая</t>
  </si>
  <si>
    <t>372.37.040</t>
  </si>
  <si>
    <t>Крепления к фасаду FREE FOLD</t>
  </si>
  <si>
    <t>372.64.796</t>
  </si>
  <si>
    <t>Средняя петля для двух секционных складных фасадов (с защитой от защемл. пальцев)</t>
  </si>
  <si>
    <t>372.37.431</t>
  </si>
  <si>
    <t>372.37.430</t>
  </si>
  <si>
    <t>372.34.422</t>
  </si>
  <si>
    <t>372.34.423</t>
  </si>
  <si>
    <t>372.33.696</t>
  </si>
  <si>
    <t>372.33.699</t>
  </si>
  <si>
    <t>Итого:</t>
  </si>
  <si>
    <t>FREE SWING</t>
  </si>
  <si>
    <t>FREE FOLD</t>
  </si>
  <si>
    <t>FREE FLAP 3.15</t>
  </si>
  <si>
    <t>FREE FLAP 1.7</t>
  </si>
  <si>
    <t>Цена (шт)</t>
  </si>
  <si>
    <t>235.79.301</t>
  </si>
  <si>
    <t>FREE UP</t>
  </si>
  <si>
    <t>372.33.432</t>
  </si>
  <si>
    <t>372.33.433</t>
  </si>
  <si>
    <t>372.33.670</t>
  </si>
  <si>
    <t>MAXI</t>
  </si>
  <si>
    <t>373.69.902</t>
  </si>
  <si>
    <t>373.66.681</t>
  </si>
  <si>
    <t>373.69.799</t>
  </si>
  <si>
    <t>373.66.500</t>
  </si>
  <si>
    <t>373.66.694</t>
  </si>
  <si>
    <t>DUO Standart</t>
  </si>
  <si>
    <t>комментарий: петли не требуются</t>
  </si>
  <si>
    <t>FREE FLAP H 1.5</t>
  </si>
  <si>
    <t>Монтажная планка Hafele Duomatic SM, крестовая, быстрый монтаж</t>
  </si>
  <si>
    <t xml:space="preserve"> Складной подъемный механизм</t>
  </si>
  <si>
    <t>Откидной подъемный механизм</t>
  </si>
  <si>
    <t>высота фасада 200-450 мм</t>
  </si>
  <si>
    <t>высота фасада 450-650 мм</t>
  </si>
  <si>
    <t>Поворотный подъемный механизм</t>
  </si>
  <si>
    <t>Параллельный подъемный механизм</t>
  </si>
  <si>
    <t>высота фасада 370-800 мм</t>
  </si>
  <si>
    <t>высота фасада 320-600 мм</t>
  </si>
  <si>
    <t>высота фасада 350-600 мм</t>
  </si>
  <si>
    <t>Кол-во</t>
  </si>
  <si>
    <t>высота фасада 480-1040 мм</t>
  </si>
  <si>
    <t>329.71.503</t>
  </si>
  <si>
    <t>ДСП 19</t>
  </si>
  <si>
    <t>Высота двери (мм).</t>
  </si>
  <si>
    <t>Ширина (мм)</t>
  </si>
  <si>
    <t>Широкие, узкие алюминиевые рамки</t>
  </si>
  <si>
    <t>Вес двери = табличный вес  х  множитель.</t>
  </si>
  <si>
    <t>Толщина фасада</t>
  </si>
  <si>
    <t>Множитель</t>
  </si>
  <si>
    <t>Ширина</t>
  </si>
  <si>
    <t>Высота</t>
  </si>
  <si>
    <t>Толщина</t>
  </si>
  <si>
    <t>Коэф. Веса</t>
  </si>
  <si>
    <t>Итого ВЕС</t>
  </si>
  <si>
    <t>Вес фасада</t>
  </si>
  <si>
    <t>ДСП</t>
  </si>
  <si>
    <t>Алюм</t>
  </si>
  <si>
    <t>Материал</t>
  </si>
  <si>
    <t>МДФ</t>
  </si>
  <si>
    <t>Коэф</t>
  </si>
  <si>
    <t>Материал фасада</t>
  </si>
  <si>
    <t>Расчет1</t>
  </si>
  <si>
    <t>Расчет2</t>
  </si>
  <si>
    <t>Алюминевые рамки</t>
  </si>
  <si>
    <t>Стекло 4 мм</t>
  </si>
  <si>
    <t>вес</t>
  </si>
  <si>
    <t>от</t>
  </si>
  <si>
    <t>до</t>
  </si>
  <si>
    <t>механизм</t>
  </si>
  <si>
    <t>сторона</t>
  </si>
  <si>
    <t>E3f0</t>
  </si>
  <si>
    <t>правый</t>
  </si>
  <si>
    <t>372.37.432</t>
  </si>
  <si>
    <t>E4f0</t>
  </si>
  <si>
    <t>372.37.433</t>
  </si>
  <si>
    <t>372.37.439</t>
  </si>
  <si>
    <t>F3f0</t>
  </si>
  <si>
    <t>372.37.440</t>
  </si>
  <si>
    <t>372.37.441</t>
  </si>
  <si>
    <t>F4f0</t>
  </si>
  <si>
    <t>372.37.442</t>
  </si>
  <si>
    <t>372.37.450</t>
  </si>
  <si>
    <t>G4f0</t>
  </si>
  <si>
    <t>372.37.451</t>
  </si>
  <si>
    <t>372.37.452</t>
  </si>
  <si>
    <t>G5f0</t>
  </si>
  <si>
    <t>372.37.453</t>
  </si>
  <si>
    <t>372.37.459</t>
  </si>
  <si>
    <t>H4f0</t>
  </si>
  <si>
    <t>372.37.460</t>
  </si>
  <si>
    <t>372.37.461</t>
  </si>
  <si>
    <t>H5f0</t>
  </si>
  <si>
    <t>372.37.462</t>
  </si>
  <si>
    <t>372.37.468</t>
  </si>
  <si>
    <t>I4f0</t>
  </si>
  <si>
    <t>372.37.469</t>
  </si>
  <si>
    <t>372.37.470</t>
  </si>
  <si>
    <t>I5f0</t>
  </si>
  <si>
    <t>372.37.471</t>
  </si>
  <si>
    <t>372.37.479</t>
  </si>
  <si>
    <t>J5f0</t>
  </si>
  <si>
    <t>372.37.480</t>
  </si>
  <si>
    <t>по разм</t>
  </si>
  <si>
    <t>372.91.173</t>
  </si>
  <si>
    <t>372.91.174</t>
  </si>
  <si>
    <t>372.91.175</t>
  </si>
  <si>
    <t>372.91.176</t>
  </si>
  <si>
    <t>Model A</t>
  </si>
  <si>
    <t>Model B</t>
  </si>
  <si>
    <t>Model C</t>
  </si>
  <si>
    <t>Free Flap 3,15</t>
  </si>
  <si>
    <t>Model D</t>
  </si>
  <si>
    <t>372.91.243</t>
  </si>
  <si>
    <t>372.91.244</t>
  </si>
  <si>
    <t>Model E</t>
  </si>
  <si>
    <t>372.91.245</t>
  </si>
  <si>
    <t>372.91.246</t>
  </si>
  <si>
    <t>Model F</t>
  </si>
  <si>
    <t>372.91.247</t>
  </si>
  <si>
    <t>372.91.248</t>
  </si>
  <si>
    <t>Model G</t>
  </si>
  <si>
    <t>высота</t>
  </si>
  <si>
    <t>Free Fold</t>
  </si>
  <si>
    <t>Free Flap 1,7</t>
  </si>
  <si>
    <t>Maxi</t>
  </si>
  <si>
    <t>373.69.900</t>
  </si>
  <si>
    <t>373.69.901</t>
  </si>
  <si>
    <t>373.69.903</t>
  </si>
  <si>
    <t>372.34.404</t>
  </si>
  <si>
    <t>372.34.405</t>
  </si>
  <si>
    <t>S7sw</t>
  </si>
  <si>
    <t>372.34.412</t>
  </si>
  <si>
    <t>372.34.413</t>
  </si>
  <si>
    <t>S5sw</t>
  </si>
  <si>
    <t>372.34.414</t>
  </si>
  <si>
    <t>372.34.415</t>
  </si>
  <si>
    <t>S8sw</t>
  </si>
  <si>
    <t>372.34.420</t>
  </si>
  <si>
    <t>372.34.421</t>
  </si>
  <si>
    <t>S3sw</t>
  </si>
  <si>
    <t>S6sw</t>
  </si>
  <si>
    <t>оригинал</t>
  </si>
  <si>
    <t>Ручка</t>
  </si>
  <si>
    <t>372.33.410</t>
  </si>
  <si>
    <t>372.33.411</t>
  </si>
  <si>
    <t>P1us</t>
  </si>
  <si>
    <t>372.33.412</t>
  </si>
  <si>
    <t>372.33.413</t>
  </si>
  <si>
    <t>P2us</t>
  </si>
  <si>
    <t>372.33.422</t>
  </si>
  <si>
    <t>372.33.423</t>
  </si>
  <si>
    <t>Q2us</t>
  </si>
  <si>
    <t>372.33.424</t>
  </si>
  <si>
    <t>372.33.425</t>
  </si>
  <si>
    <t>Q3us</t>
  </si>
  <si>
    <t>R2us</t>
  </si>
  <si>
    <t>372.33.434</t>
  </si>
  <si>
    <t>372.33.435</t>
  </si>
  <si>
    <t>R3us</t>
  </si>
  <si>
    <t>Free Up</t>
  </si>
  <si>
    <t>372.39.300</t>
  </si>
  <si>
    <t>372.39.400</t>
  </si>
  <si>
    <t>372.39.310</t>
  </si>
  <si>
    <t>372.39.410</t>
  </si>
  <si>
    <t>372.39.330</t>
  </si>
  <si>
    <t>372.39.430</t>
  </si>
  <si>
    <t>-</t>
  </si>
  <si>
    <t>комментарий: требуются петли крепления к корпусу угол открывания 120'</t>
  </si>
  <si>
    <t>кол-во</t>
  </si>
  <si>
    <t>Угол открывания</t>
  </si>
  <si>
    <t>угол откр</t>
  </si>
  <si>
    <t>Кол-во механизмов</t>
  </si>
  <si>
    <t>372.37.060</t>
  </si>
  <si>
    <t>Ограничитель открывния FREE FOLD на 90 градусов</t>
  </si>
  <si>
    <t>372.37.044</t>
  </si>
  <si>
    <t>Адаптер для креплений Free Fold/Free flap H1.5 к фасадам с алюминиевой рамкой 20 мм</t>
  </si>
  <si>
    <t>Адаптер для креплений к фасадам с алюминиевой рамкой 20 мм</t>
  </si>
  <si>
    <t>Белый</t>
  </si>
  <si>
    <t>Серый</t>
  </si>
  <si>
    <t>добавить</t>
  </si>
  <si>
    <t>Стоимость</t>
  </si>
  <si>
    <t>Комплект петель крепления к корпусу с углом открывания 120'</t>
  </si>
  <si>
    <t>Ограничитель угла открывния FREE FLAP на 90'</t>
  </si>
  <si>
    <t>372.91.599</t>
  </si>
  <si>
    <t>372.91.499</t>
  </si>
  <si>
    <t>Адаптер для креплений FREE FLAP к фасадам с алюминиевой рамкой 20 мм</t>
  </si>
  <si>
    <t>372.34.675</t>
  </si>
  <si>
    <t>Заглушки FREE SWING белые</t>
  </si>
  <si>
    <t>Регулировочный ключ SW10</t>
  </si>
  <si>
    <t>Крепление к фасаду, для Free flap H1.5, белое</t>
  </si>
  <si>
    <t>372.39.015</t>
  </si>
  <si>
    <t>Крепление к корпусу, для Free flap H1.5, белое</t>
  </si>
  <si>
    <t>372.39.017</t>
  </si>
  <si>
    <t>372.39.002</t>
  </si>
  <si>
    <t>372.39.003</t>
  </si>
  <si>
    <t>Заглушка HAFELE для Free flap H1.5, белая, правая</t>
  </si>
  <si>
    <t>Заглушка HAFELE для Free flap H1.5, белая, левая</t>
  </si>
  <si>
    <t>373.69.906</t>
  </si>
  <si>
    <t>ширина</t>
  </si>
  <si>
    <t>372.37.488</t>
  </si>
  <si>
    <t>372.37.489</t>
  </si>
  <si>
    <t>K5fo</t>
  </si>
  <si>
    <t>372.37.497</t>
  </si>
  <si>
    <t>372.37.498</t>
  </si>
  <si>
    <t>L4fo</t>
  </si>
  <si>
    <t>Q</t>
  </si>
  <si>
    <t>R</t>
  </si>
  <si>
    <t>S</t>
  </si>
  <si>
    <t>Толщина корпуса</t>
  </si>
  <si>
    <t>Наложение фасада</t>
  </si>
  <si>
    <t>Y</t>
  </si>
  <si>
    <t>X</t>
  </si>
  <si>
    <t>Синхронизирующая штанга для корпуса</t>
  </si>
  <si>
    <t>372.33.698</t>
  </si>
  <si>
    <t>Синхронизирующая Штанга 1074 мм для шкафа 1200 мм</t>
  </si>
  <si>
    <t>Синхронизирующая Штанга 1674 мм для шкафа 1800 мм</t>
  </si>
  <si>
    <t>372.33.675</t>
  </si>
  <si>
    <t>Заглушки FREE UP - Серые</t>
  </si>
  <si>
    <t>Заглушки FREE UP - Белые</t>
  </si>
  <si>
    <t>Цвет заглушек корпуса</t>
  </si>
  <si>
    <t>Расчет вес</t>
  </si>
  <si>
    <t>Цвет подъемного механизма</t>
  </si>
  <si>
    <t>372.39.000</t>
  </si>
  <si>
    <t>372.39.001</t>
  </si>
  <si>
    <t>Заглушка HAFELE для Free flap H1.5, серая, правая</t>
  </si>
  <si>
    <t>Заглушка HAFELE для Free flap H1.5, серая, левая</t>
  </si>
  <si>
    <t>372.39.016</t>
  </si>
  <si>
    <t>Крепление к фасаду, для Free flap H1.5, серое</t>
  </si>
  <si>
    <t>372.39.014</t>
  </si>
  <si>
    <t>Крепление к корпусу, для Free flap H1.5, серое</t>
  </si>
  <si>
    <t>311.60.515</t>
  </si>
  <si>
    <t>311.71.540</t>
  </si>
  <si>
    <t>Монтажная планка Hafele Metalla SM Kombi, быстрого монтажа высота 0 мм, под шурупы</t>
  </si>
  <si>
    <t>Петля Metalla SM Kombi, угол откр 110. для накладных дв. Схема 52/5,5 с амортизатором</t>
  </si>
  <si>
    <t>Комплект петель крепления к корпусу с углом открывания 110' с доводчиком</t>
  </si>
  <si>
    <t>Ограничитель угла открывания FREE FOLD на 90'</t>
  </si>
  <si>
    <t>329.73.503</t>
  </si>
  <si>
    <t>Цена</t>
  </si>
  <si>
    <t>Петли</t>
  </si>
  <si>
    <t>Планки для петель</t>
  </si>
  <si>
    <t>Группа</t>
  </si>
  <si>
    <t>Подгруппа</t>
  </si>
  <si>
    <t>Учесть фасады более 600 мм</t>
  </si>
  <si>
    <t>Кол-во креплений для 2-х фасадов</t>
  </si>
  <si>
    <t>Крепление DUO к корпусу</t>
  </si>
  <si>
    <t>Адаптеры (фиксаторы) для штанги SWING / UP</t>
  </si>
  <si>
    <t>ПМ</t>
  </si>
  <si>
    <t>Подъемный механизм FREE FOLD - E3f0; правый</t>
  </si>
  <si>
    <t>Подъемный механизм FREE FOLD - E4f0; правый</t>
  </si>
  <si>
    <t>Подъемный механизм FREE FOLD - F3f0; правый</t>
  </si>
  <si>
    <t>Подъемный механизм FREE FOLD - F4f0; правый</t>
  </si>
  <si>
    <t>Подъемный механизм FREE FOLD - G4f0; правый</t>
  </si>
  <si>
    <t>Подъемный механизм FREE FOLD - G5f0; правый</t>
  </si>
  <si>
    <t>Подъемный механизм FREE FOLD - H4f0; правый</t>
  </si>
  <si>
    <t>Подъемный механизм FREE FOLD - H5f0; правый</t>
  </si>
  <si>
    <t>Подъемный механизм FREE FOLD - I4f0; правый</t>
  </si>
  <si>
    <t>Подъемный механизм FREE FOLD - I5f0; правый</t>
  </si>
  <si>
    <t>Подъемный механизм FREE FOLD - J5f0; правый</t>
  </si>
  <si>
    <t>Подъемный механизм FREE FOLD - K5fo; правый</t>
  </si>
  <si>
    <t>Подъемный механизм FREE FOLD - L4fo; правый</t>
  </si>
  <si>
    <t>Подъемный механизм FREE FOLD - E3f0; левый</t>
  </si>
  <si>
    <t>Подъемный механизм FREE FOLD - E4f0; левый</t>
  </si>
  <si>
    <t>Подъемный механизм FREE FOLD - F3f0; левый</t>
  </si>
  <si>
    <t>Подъемный механизм FREE FOLD - F4f0; левый</t>
  </si>
  <si>
    <t>Подъемный механизм FREE FOLD - G4f0; левый</t>
  </si>
  <si>
    <t>Подъемный механизм FREE FOLD - G5f0; левый</t>
  </si>
  <si>
    <t>Подъемный механизм FREE FOLD - H4f0; левый</t>
  </si>
  <si>
    <t>Подъемный механизм FREE FOLD - H5f0; левый</t>
  </si>
  <si>
    <t>Подъемный механизм FREE FOLD - I4f0; левый</t>
  </si>
  <si>
    <t>Подъемный механизм FREE FOLD - I5f0; левый</t>
  </si>
  <si>
    <t>Подъемный механизм FREE FOLD - J5f0; левый</t>
  </si>
  <si>
    <t>Подъемный механизм FREE FOLD - K5fo; левый</t>
  </si>
  <si>
    <t>Подъемный механизм FREE FOLD - L4fo; левый</t>
  </si>
  <si>
    <t>Подъемный механизм FREE FLAP 1.7 - Model A; правый</t>
  </si>
  <si>
    <t>Подъемный механизм FREE FLAP 1.7 - Model B; правый</t>
  </si>
  <si>
    <t>Подъемный механизм FREE FLAP 1.7 - Model C; правый</t>
  </si>
  <si>
    <t>Подъемный механизм FREE FLAP 1.7 - Model A; левый</t>
  </si>
  <si>
    <t>Подъемный механизм FREE FLAP 1.7 - Model B; левый</t>
  </si>
  <si>
    <t>Подъемный механизм FREE FLAP 1.7 - Model C; левый</t>
  </si>
  <si>
    <t>Подъемный механизм</t>
  </si>
  <si>
    <t>Подъемный механизм FREE FLAP 3.15 - Model D; правый</t>
  </si>
  <si>
    <t>Подъемный механизм FREE FLAP 3.15 - Model E; правый</t>
  </si>
  <si>
    <t>Подъемный механизм FREE FLAP 3.15 - Model F; правый</t>
  </si>
  <si>
    <t>Подъемный механизм FREE FLAP 3.15 - Model G; правый</t>
  </si>
  <si>
    <t>Подъемный механизм FREE FLAP 3.15 - Model D; левый</t>
  </si>
  <si>
    <t>Подъемный механизм FREE FLAP 3.15 - Model E; левый</t>
  </si>
  <si>
    <t>Подъемный механизм FREE FLAP 3.15 - Model F; левый</t>
  </si>
  <si>
    <t>Подъемный механизм FREE FLAP 3.15 - Model G; левый</t>
  </si>
  <si>
    <t>Подъемный механизм FREE SWING - S7sw; правый</t>
  </si>
  <si>
    <t>Подъемный механизм FREE SWING - S5sw; правый</t>
  </si>
  <si>
    <t>Подъемный механизм FREE SWING - S8sw; правый</t>
  </si>
  <si>
    <t>Подъемный механизм FREE SWING - S3sw; правый</t>
  </si>
  <si>
    <t>Подъемный механизм FREE SWING - S6sw; правый</t>
  </si>
  <si>
    <t>Подъемный механизм FREE SWING - S7sw; левый</t>
  </si>
  <si>
    <t>Подъемный механизм FREE SWING - S5sw; левый</t>
  </si>
  <si>
    <t>Подъемный механизм FREE SWING - S8sw; левый</t>
  </si>
  <si>
    <t>Подъемный механизм FREE SWING - S3sw; левый</t>
  </si>
  <si>
    <t>Подъемный механизм FREE SWING - S6sw; левый</t>
  </si>
  <si>
    <t>Подъемный механизм FREE UP - P1us; правый</t>
  </si>
  <si>
    <t>Подъемный механизм FREE UP - P2us; правый</t>
  </si>
  <si>
    <t>Подъемный механизм FREE UP - Q2us; правый</t>
  </si>
  <si>
    <t>Подъемный механизм FREE UP - Q3us; правый</t>
  </si>
  <si>
    <t>Подъемный механизм FREE UP - R2us; правый</t>
  </si>
  <si>
    <t>Подъемный механизм FREE UP - R3us; правый</t>
  </si>
  <si>
    <t>Подъемный механизм FREE UP - P1us; левый</t>
  </si>
  <si>
    <t>Подъемный механизм FREE UP - P2us; левый</t>
  </si>
  <si>
    <t>Подъемный механизм FREE UP - Q2us; левый</t>
  </si>
  <si>
    <t>Подъемный механизм FREE UP - Q3us; левый</t>
  </si>
  <si>
    <t>Подъемный механизм FREE UP - R2us; левый</t>
  </si>
  <si>
    <t>Подъемный механизм FREE UP - R3us; левый</t>
  </si>
  <si>
    <t>Подъемный механизм FREE FLAP H 1.5 - Model A; серый</t>
  </si>
  <si>
    <t>Подъемный механизм FREE FLAP H 1.5 - Model B; серый</t>
  </si>
  <si>
    <t>Подъемный механизм FREE FLAP H 1.5 - Model D; серый</t>
  </si>
  <si>
    <t>Подъемный механизм FREE FLAP H 1.5 - Model A; белый</t>
  </si>
  <si>
    <t>Подъемный механизм FREE FLAP H 1.5 - Model B; белый</t>
  </si>
  <si>
    <t>Подъемный механизм FREE FLAP H 1.5 - Model D; белый</t>
  </si>
  <si>
    <t>Подъемный механизм MAXI - Model A; цв. кольца серый</t>
  </si>
  <si>
    <t>Подъемный механизм MAXI - Model B; цв. кольца бежевый</t>
  </si>
  <si>
    <t>Подъемный механизм MAXI - Model C; цв. кольца белый</t>
  </si>
  <si>
    <t>Подъемный механизм MAXI - Model D; цв. кольца черный</t>
  </si>
  <si>
    <t>Подъемный механизм DUO</t>
  </si>
  <si>
    <t>DUO</t>
  </si>
  <si>
    <t>000.000.000</t>
  </si>
  <si>
    <t>Подъемного механизма для указаных характеристик нет в ассортименте</t>
  </si>
  <si>
    <t>316.30.500</t>
  </si>
  <si>
    <t>Петля Metallamat 110⁰ для накладной двери, 48/6, монтаж задвижением</t>
  </si>
  <si>
    <t>316.51.502</t>
  </si>
  <si>
    <t>316.51.504</t>
  </si>
  <si>
    <t>Крестовая монтажная планка Metallamat А (тех задвиж.) (для шурупов) высота 2 мм</t>
  </si>
  <si>
    <t>316.53.710</t>
  </si>
  <si>
    <t>Амортизатор для привинчивания к чашке петли Metallamat, 48/6</t>
  </si>
  <si>
    <t>Амортизатор для привинчивания к чашке петли Metallamat, 52/5,5</t>
  </si>
  <si>
    <t>316.53.720</t>
  </si>
  <si>
    <t>Комплект петель крепления к корпусу с углом откр. 110' без доводчика</t>
  </si>
  <si>
    <t>Амортизатор (доводчик) для привинчивания к чашке петли</t>
  </si>
  <si>
    <t>372.34.670</t>
  </si>
  <si>
    <t>Заглушки FREE SWING серые</t>
  </si>
  <si>
    <t>372.91.234</t>
  </si>
  <si>
    <t>Заглушка FREE flap 3.15, серые</t>
  </si>
  <si>
    <t>372.91.133</t>
  </si>
  <si>
    <t>Заглушка FREE flap 1.7 серая</t>
  </si>
  <si>
    <t>372.37.021</t>
  </si>
  <si>
    <t>Заглушка FREE FOLD серая</t>
  </si>
  <si>
    <t>Угол</t>
  </si>
  <si>
    <t>A1</t>
  </si>
  <si>
    <t>FFD</t>
  </si>
  <si>
    <t>ВеСот</t>
  </si>
  <si>
    <t>ВеСдо</t>
  </si>
  <si>
    <t>ВыСот</t>
  </si>
  <si>
    <t>ВыСдо</t>
  </si>
  <si>
    <t>АртикулП</t>
  </si>
  <si>
    <t>АртикулЛ</t>
  </si>
  <si>
    <t>LLLL</t>
  </si>
  <si>
    <t>FFL17</t>
  </si>
  <si>
    <t>Model -</t>
  </si>
  <si>
    <t>FFL315</t>
  </si>
  <si>
    <t>FS</t>
  </si>
  <si>
    <t>Ssss</t>
  </si>
  <si>
    <t>FU</t>
  </si>
  <si>
    <t>Rrrr</t>
  </si>
  <si>
    <t>FFLH15</t>
  </si>
  <si>
    <t>ВеСот2</t>
  </si>
  <si>
    <t>ВеСдо2</t>
  </si>
  <si>
    <t>КолвоM</t>
  </si>
  <si>
    <t>MX</t>
  </si>
  <si>
    <t>MXВеСдо2</t>
  </si>
  <si>
    <t>Крепления DUO / MAXI к сплошному фасаду</t>
  </si>
  <si>
    <t>E</t>
  </si>
  <si>
    <t>F</t>
  </si>
  <si>
    <t>G</t>
  </si>
  <si>
    <t>H</t>
  </si>
  <si>
    <t>I</t>
  </si>
  <si>
    <t>J</t>
  </si>
  <si>
    <t>K</t>
  </si>
  <si>
    <t>L</t>
  </si>
  <si>
    <t>FFDВеСдо2</t>
  </si>
  <si>
    <t>FFDВеСот2</t>
  </si>
  <si>
    <t>FFDПММ</t>
  </si>
  <si>
    <t>P</t>
  </si>
  <si>
    <t>RR</t>
  </si>
  <si>
    <t>LL</t>
  </si>
  <si>
    <t>Петли для механизмов</t>
  </si>
  <si>
    <t>000.000.001</t>
  </si>
  <si>
    <t>Прошу</t>
  </si>
  <si>
    <t>Курс Евро</t>
  </si>
  <si>
    <t>Курс  Евро</t>
  </si>
  <si>
    <t>Установлен пользователем</t>
  </si>
  <si>
    <t>Обновить через интернет</t>
  </si>
  <si>
    <t>Обновленно успешно</t>
  </si>
  <si>
    <t>Обновление  через интернет не осущественно</t>
  </si>
  <si>
    <t>Войти</t>
  </si>
  <si>
    <t>Ещё</t>
  </si>
  <si>
    <t>Главное</t>
  </si>
  <si>
    <t>Политика</t>
  </si>
  <si>
    <t>Общество</t>
  </si>
  <si>
    <t>Экономика</t>
  </si>
  <si>
    <t>В мире</t>
  </si>
  <si>
    <t>Спорт</t>
  </si>
  <si>
    <t>Происшествия</t>
  </si>
  <si>
    <t>Культура</t>
  </si>
  <si>
    <t>Технологии</t>
  </si>
  <si>
    <t>Наука</t>
  </si>
  <si>
    <t>Авто</t>
  </si>
  <si>
    <t>Все</t>
  </si>
  <si>
    <t>Биржевые индексы</t>
  </si>
  <si>
    <t>Акции</t>
  </si>
  <si>
    <t>Сырьё</t>
  </si>
  <si>
    <t>Цены на бензин</t>
  </si>
  <si>
    <t>Динамика курса евро к рублю (EUR, ЦБ РФ)</t>
  </si>
  <si>
    <t>За последние 10 дней</t>
  </si>
  <si>
    <t>Дата</t>
  </si>
  <si>
    <t>Курс</t>
  </si>
  <si>
    <t>Изменение</t>
  </si>
  <si>
    <t>Информация для СМИ</t>
  </si>
  <si>
    <t>База данных СМИ</t>
  </si>
  <si>
    <t>Пользовательское соглашение</t>
  </si>
  <si>
    <t>Реклама</t>
  </si>
  <si>
    <t>Обратная связь</t>
  </si>
  <si>
    <t>X1</t>
  </si>
  <si>
    <t>Y1</t>
  </si>
  <si>
    <t>Код доступа</t>
  </si>
  <si>
    <t>арт</t>
  </si>
  <si>
    <t>описание</t>
  </si>
  <si>
    <t>Монтажная планка</t>
  </si>
  <si>
    <t>Комментарий</t>
  </si>
  <si>
    <t>318.40.543</t>
  </si>
  <si>
    <t>Петля Metallamat 110⁰ для накладной двери, 52/5,5, быстрый монтаж</t>
  </si>
  <si>
    <t>318.61.506</t>
  </si>
  <si>
    <t>Крестовые монтаж планки Metallamat SM, быстр. монтаж, высота 6 мм</t>
  </si>
  <si>
    <t>без доводчика</t>
  </si>
  <si>
    <t>с доводчиком</t>
  </si>
  <si>
    <t>По состоянию на 10:00 Мск</t>
  </si>
  <si>
    <t>Эконом</t>
  </si>
  <si>
    <t>Шаг</t>
  </si>
  <si>
    <t>Ценовой сегмент</t>
  </si>
  <si>
    <t>Средний</t>
  </si>
  <si>
    <t>Сегмент</t>
  </si>
  <si>
    <t>329.17.700</t>
  </si>
  <si>
    <t>Петля Duomatic Premium с доводчиком 110 гр. для накладной двери, схема 48/6 мм</t>
  </si>
  <si>
    <t>329.17.600</t>
  </si>
  <si>
    <t>Петля Duomatic Standard 110 гр. для накладной двери, схема 48/6 мм</t>
  </si>
  <si>
    <t>Сделать</t>
  </si>
  <si>
    <t>Версия для розницы</t>
  </si>
  <si>
    <t>цены продаж клиента</t>
  </si>
  <si>
    <t>цены закупок клиента</t>
  </si>
  <si>
    <t>Версия для закупщиков</t>
  </si>
  <si>
    <t>Дать возможность клиенту регулировать наценку</t>
  </si>
  <si>
    <t>Розничная наценка</t>
  </si>
  <si>
    <t>розничные цены</t>
  </si>
  <si>
    <t>закупочные цены</t>
  </si>
  <si>
    <t>Показывать в расчете</t>
  </si>
  <si>
    <t>Вы можете установить два вида цен при расчете стоимости комплектов подъемных механизмов: закупочные цены (отпускные цены поставщика) или ваши розничные цены. Для установки розничных цен укажите наценку.</t>
  </si>
  <si>
    <t>Монтажные планки</t>
  </si>
  <si>
    <t xml:space="preserve">Крепление к корпусу (с доводчиком) для MAXI </t>
  </si>
  <si>
    <t xml:space="preserve">MAXI </t>
  </si>
  <si>
    <t>FREE Flap / Swing / Up</t>
  </si>
  <si>
    <t>FREE SWING / UP</t>
  </si>
  <si>
    <t>FREE FLAP</t>
  </si>
  <si>
    <t>DUO / MAXI</t>
  </si>
  <si>
    <t>Подгруппа2</t>
  </si>
  <si>
    <t>Аксессуары для ПМ</t>
  </si>
  <si>
    <t>Механизм</t>
  </si>
  <si>
    <t>Крепление механизма Maxi к корпусу (без доводки)</t>
  </si>
  <si>
    <t>Крепление к корпусу</t>
  </si>
  <si>
    <t>Крепление к фасаду</t>
  </si>
  <si>
    <t>Адаптер алюм рам</t>
  </si>
  <si>
    <t>Адаптер фиксатор</t>
  </si>
  <si>
    <t>Штанга</t>
  </si>
  <si>
    <t>Аксессуары к ПМ</t>
  </si>
  <si>
    <t>Регулировочный ключ</t>
  </si>
  <si>
    <t>Средняя петля для складных фасадов</t>
  </si>
  <si>
    <t>Ограничитель угла</t>
  </si>
  <si>
    <t>Заглушки</t>
  </si>
  <si>
    <t>Подъемные МЕХАНИЗМЫ</t>
  </si>
  <si>
    <t>ЗЦ</t>
  </si>
  <si>
    <t xml:space="preserve">Амортизатор к чашке петли </t>
  </si>
  <si>
    <t>Индивидуальная наценка</t>
  </si>
  <si>
    <t>Единая наценка</t>
  </si>
  <si>
    <t>На этой странице вы можете установить оптовую ценовую политику.</t>
  </si>
  <si>
    <t>Страница для дилеров Hafele</t>
  </si>
  <si>
    <t>Единая наценка на весь ассортимент</t>
  </si>
  <si>
    <t>На ассортимент Hafele установлена</t>
  </si>
  <si>
    <t>Итого руб</t>
  </si>
  <si>
    <t>Итого евро</t>
  </si>
  <si>
    <t>Нац. Индивид</t>
  </si>
  <si>
    <t>Итог нац</t>
  </si>
  <si>
    <t>Флаг Группы</t>
  </si>
  <si>
    <t>DUO Forte</t>
  </si>
  <si>
    <t>373.66.700</t>
  </si>
  <si>
    <t>Подъемный механизм DUO Forte</t>
  </si>
  <si>
    <t>A</t>
  </si>
  <si>
    <t>B</t>
  </si>
  <si>
    <t>2*2</t>
  </si>
  <si>
    <t>2*3</t>
  </si>
  <si>
    <t>C</t>
  </si>
  <si>
    <t>Модель</t>
  </si>
  <si>
    <t>Тип толк-ля</t>
  </si>
  <si>
    <t>Плавное закрывание</t>
  </si>
  <si>
    <t>Система PUSH OPEN</t>
  </si>
  <si>
    <t>372.91.480</t>
  </si>
  <si>
    <t>372.91.481</t>
  </si>
  <si>
    <t>372.91.482</t>
  </si>
  <si>
    <t>372.91.470</t>
  </si>
  <si>
    <t>372.91.471</t>
  </si>
  <si>
    <t>372.91.472</t>
  </si>
  <si>
    <t>Толкатель, врезная версия. Тип 1, 17-23 N</t>
  </si>
  <si>
    <t>Толкатель, врезная версия. Тип 2, 23-34 N</t>
  </si>
  <si>
    <t>Толкатель, врезная версия. Тип 2, 26-48 N</t>
  </si>
  <si>
    <t>372.91.479</t>
  </si>
  <si>
    <t>Адаптер для монтажа на проской поверхности, серый</t>
  </si>
  <si>
    <t>Толкатели PUSH</t>
  </si>
  <si>
    <t>Врезной</t>
  </si>
  <si>
    <t>Накладной</t>
  </si>
  <si>
    <t>Тип открытия/закрытия</t>
  </si>
  <si>
    <t>Толкатель для системы PUSH OPEN</t>
  </si>
  <si>
    <t>Тип толкателя</t>
  </si>
  <si>
    <t>D</t>
  </si>
  <si>
    <t>Тип</t>
  </si>
  <si>
    <t>FREE FLAP 3.5</t>
  </si>
  <si>
    <t>356.06.401</t>
  </si>
  <si>
    <t>356.06.402</t>
  </si>
  <si>
    <t>Магнитная нажимная защелка Push, сопряженная планка для вбивания</t>
  </si>
  <si>
    <t>Магнитная нажимная защелка Push, сопряженная планка для приклеивания</t>
  </si>
  <si>
    <t>356.06.441</t>
  </si>
  <si>
    <t>Дополнительный магнит Push, для дверей, сопряженная планка для вбивания</t>
  </si>
  <si>
    <t>356.06.410</t>
  </si>
  <si>
    <t xml:space="preserve">Крестовая адаптерная планка </t>
  </si>
  <si>
    <t>Для приклеивания</t>
  </si>
  <si>
    <t>Для вбивания</t>
  </si>
  <si>
    <t>PUSH</t>
  </si>
  <si>
    <t>Обратная пружина</t>
  </si>
  <si>
    <t>329.17.900</t>
  </si>
  <si>
    <t>Петля Duomatic Push Угол раскрытия 110⁰ для накладной  двери, схема 48/6 мм</t>
  </si>
  <si>
    <t>---------------------------------------------------------------------------------------------------</t>
  </si>
  <si>
    <t>372.37.683</t>
  </si>
  <si>
    <t>J4f0</t>
  </si>
  <si>
    <t>372.37.693</t>
  </si>
  <si>
    <t>K4f0</t>
  </si>
  <si>
    <t>Подъемный механизм FREE FOLD - K4f0; комплект</t>
  </si>
  <si>
    <t>Подъемный механизм FREE FOLD - J4f0; комплект</t>
  </si>
  <si>
    <t>Как работают Яндекс.Новости</t>
  </si>
  <si>
    <t>Новости</t>
  </si>
  <si>
    <t>Будьте в Плюсе</t>
  </si>
  <si>
    <t>Яндекс</t>
  </si>
  <si>
    <t>Найти</t>
  </si>
  <si>
    <t>Поиск</t>
  </si>
  <si>
    <t>Картинки</t>
  </si>
  <si>
    <t>Видео</t>
  </si>
  <si>
    <t>Карты</t>
  </si>
  <si>
    <t>Маркет</t>
  </si>
  <si>
    <t>Переводчик</t>
  </si>
  <si>
    <t>Кью</t>
  </si>
  <si>
    <t>Диск</t>
  </si>
  <si>
    <t>Почта</t>
  </si>
  <si>
    <t>Новостные рубрики</t>
  </si>
  <si>
    <t>Челябинск</t>
  </si>
  <si>
    <t>Интересное</t>
  </si>
  <si>
    <t>Коронавирус</t>
  </si>
  <si>
    <t>Биржевые курсы</t>
  </si>
  <si>
    <t>Курсы биткойна</t>
  </si>
  <si>
    <t>Кросс-курсы</t>
  </si>
  <si>
    <t>Наличные курсы Украины</t>
  </si>
  <si>
    <t>Курсы валют НБ Украины</t>
  </si>
  <si>
    <t>Курсы валют НБ Республики Казахстан</t>
  </si>
  <si>
    <t>Курсы валют НБ Республики Беларусь</t>
  </si>
  <si>
    <t>Курсы валют ЦБ РФ</t>
  </si>
  <si>
    <t>Москвичи проголосовали за создание площади ДНР у посольства США</t>
  </si>
  <si>
    <t>РБК12:28</t>
  </si>
  <si>
    <t>Экс-президент Молдавии Додон заявил о подготовке военного присоединения страны к Румынии</t>
  </si>
  <si>
    <t>РИА Новости12:27</t>
  </si>
  <si>
    <t>МИД Японии продолжит консультации с Россией по соглашению о промысле морских ресурсов</t>
  </si>
  <si>
    <t>РИА Новости12:21</t>
  </si>
  <si>
    <t>Захарова назвала чьим-то планом слова Зеленского о переговорах с Путиным</t>
  </si>
  <si>
    <t>Lenta.ru12:26</t>
  </si>
  <si>
    <t>Референдум о вхождении Запорожской области в состав РФ планируют провести в 2022 году</t>
  </si>
  <si>
    <t>ТАСС12:23</t>
  </si>
  <si>
    <t>Yeni Şafak: Турция поставила десять условий Швеции и Финляндии для вхождения в НАТО</t>
  </si>
  <si>
    <t>Роструд напомнил о длинных выходных с 11 по 13 июня и четырехдневной рабочей неделе</t>
  </si>
  <si>
    <t>Lenta.ru12:28</t>
  </si>
  <si>
    <t>Посол России в США Антонов заявил, что получил письмо с призывом осудить действия Путина</t>
  </si>
  <si>
    <t>РИА Новости12:24</t>
  </si>
  <si>
    <t>Профессор Ханке заявил, что США и ЕС понесут ошеломляющие потери от антироссийских санкций</t>
  </si>
  <si>
    <t>РИА Новости11:45</t>
  </si>
  <si>
    <t>Семья попавшего в плен в ДНР британского наемника Аслина рассчитывает на его освобождение</t>
  </si>
  <si>
    <t>Lenta.ru11:35</t>
  </si>
  <si>
    <t>Bloomberg: США хотят нарастить производство урана для снижения зависимости от России</t>
  </si>
  <si>
    <t>РИА Новости12:26</t>
  </si>
  <si>
    <t>Меркель рассказала свою версию инцидента с лабрадором Кони на встрече с Путиным</t>
  </si>
  <si>
    <t>РИА Новости12:25</t>
  </si>
  <si>
    <t>Hurriyet: Россия не одобрила новую военную операцию Турции в Сирии</t>
  </si>
  <si>
    <t>Газета.Ru12:22</t>
  </si>
  <si>
    <t>ПФР: 37 россиян за границей не смогли получить пенсию из-за санкций</t>
  </si>
  <si>
    <t>Коммерсантъ12:18</t>
  </si>
  <si>
    <t>Российские ПВО сбили на окраине Херсона три украинские ракеты «Точка-У»</t>
  </si>
  <si>
    <t>РИА Новости12:22</t>
  </si>
  <si>
    <t>Сейчас в СМИ. Статистика</t>
  </si>
  <si>
    <t>Справка</t>
  </si>
  <si>
    <t>© 2022 Яндекс</t>
  </si>
  <si>
    <t>Данные предоставлены: АО «Интерфакс»</t>
  </si>
</sst>
</file>

<file path=xl/styles.xml><?xml version="1.0" encoding="utf-8"?>
<styleSheet xmlns="http://schemas.openxmlformats.org/spreadsheetml/2006/main">
  <numFmts count="8">
    <numFmt numFmtId="164" formatCode="0.000"/>
    <numFmt numFmtId="165" formatCode="0.0"/>
    <numFmt numFmtId="166" formatCode="[$-419]General"/>
    <numFmt numFmtId="167" formatCode="#,##0.0000\ [$€-1]"/>
    <numFmt numFmtId="168" formatCode="#,##0.00\ &quot;₽&quot;"/>
    <numFmt numFmtId="169" formatCode="#,##0.00\ [$€-1]"/>
    <numFmt numFmtId="170" formatCode="0.0%"/>
    <numFmt numFmtId="171" formatCode="0.0000"/>
  </numFmts>
  <fonts count="65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color theme="0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9"/>
      <color theme="0"/>
      <name val="Arial"/>
      <family val="2"/>
      <charset val="204"/>
    </font>
    <font>
      <b/>
      <sz val="14"/>
      <color theme="0"/>
      <name val="Calibri"/>
      <family val="2"/>
      <charset val="204"/>
      <scheme val="minor"/>
    </font>
    <font>
      <b/>
      <sz val="10"/>
      <color theme="0"/>
      <name val="Arial"/>
      <family val="2"/>
      <charset val="204"/>
    </font>
    <font>
      <sz val="9"/>
      <color indexed="8"/>
      <name val="Arial"/>
      <family val="2"/>
    </font>
    <font>
      <b/>
      <sz val="10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i/>
      <u/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b/>
      <i/>
      <sz val="8"/>
      <name val="Arial Cyr"/>
      <charset val="204"/>
    </font>
    <font>
      <i/>
      <sz val="10"/>
      <name val="Arial Cyr"/>
      <charset val="204"/>
    </font>
    <font>
      <b/>
      <i/>
      <sz val="9"/>
      <name val="Arial Cyr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10"/>
      <name val="Arial"/>
      <family val="2"/>
      <charset val="204"/>
    </font>
    <font>
      <b/>
      <sz val="12"/>
      <color theme="3" tint="-0.249977111117893"/>
      <name val="Arial"/>
      <family val="2"/>
      <charset val="204"/>
    </font>
    <font>
      <sz val="8"/>
      <color theme="1"/>
      <name val="Arial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color theme="0"/>
      <name val="Arial"/>
      <family val="2"/>
    </font>
    <font>
      <b/>
      <sz val="11"/>
      <color theme="3" tint="-0.249977111117893"/>
      <name val="Arial"/>
      <family val="2"/>
      <charset val="204"/>
    </font>
    <font>
      <b/>
      <sz val="11"/>
      <color theme="4" tint="-0.499984740745262"/>
      <name val="Calibri"/>
      <family val="2"/>
      <charset val="204"/>
      <scheme val="minor"/>
    </font>
    <font>
      <sz val="13"/>
      <color theme="0"/>
      <name val="Calibri"/>
      <family val="2"/>
      <charset val="204"/>
      <scheme val="minor"/>
    </font>
    <font>
      <b/>
      <sz val="9"/>
      <color theme="3" tint="-0.499984740745262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theme="4" tint="-0.49998474074526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i/>
      <sz val="9"/>
      <color indexed="8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9"/>
      <color indexed="8"/>
      <name val="Arial"/>
      <family val="2"/>
    </font>
    <font>
      <b/>
      <sz val="12"/>
      <color theme="4" tint="-0.499984740745262"/>
      <name val="Arial"/>
      <family val="2"/>
      <charset val="204"/>
    </font>
    <font>
      <b/>
      <sz val="13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4"/>
      <color theme="2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sz val="16"/>
      <color theme="4" tint="0.79998168889431442"/>
      <name val="Calibri"/>
      <family val="2"/>
      <charset val="204"/>
      <scheme val="minor"/>
    </font>
    <font>
      <sz val="16"/>
      <color theme="0"/>
      <name val="Calibri"/>
      <family val="2"/>
      <charset val="204"/>
      <scheme val="minor"/>
    </font>
    <font>
      <sz val="18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8" tint="-0.499984740745262"/>
      <name val="Calibri"/>
      <family val="2"/>
      <charset val="204"/>
      <scheme val="minor"/>
    </font>
    <font>
      <b/>
      <sz val="12"/>
      <color theme="3" tint="0.39997558519241921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51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26"/>
      </left>
      <right style="thin">
        <color indexed="26"/>
      </right>
      <top/>
      <bottom style="thin">
        <color indexed="26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6"/>
      </left>
      <right/>
      <top style="thin">
        <color indexed="26"/>
      </top>
      <bottom style="thin">
        <color indexed="26"/>
      </bottom>
      <diagonal/>
    </border>
    <border>
      <left/>
      <right style="thin">
        <color indexed="26"/>
      </right>
      <top style="thin">
        <color indexed="26"/>
      </top>
      <bottom style="thin">
        <color indexed="26"/>
      </bottom>
      <diagonal/>
    </border>
    <border>
      <left/>
      <right/>
      <top style="thin">
        <color indexed="26"/>
      </top>
      <bottom style="thin">
        <color indexed="26"/>
      </bottom>
      <diagonal/>
    </border>
    <border>
      <left style="thin">
        <color indexed="26"/>
      </left>
      <right/>
      <top/>
      <bottom style="thin">
        <color indexed="26"/>
      </bottom>
      <diagonal/>
    </border>
    <border>
      <left/>
      <right/>
      <top/>
      <bottom style="thin">
        <color indexed="26"/>
      </bottom>
      <diagonal/>
    </border>
    <border>
      <left/>
      <right style="thin">
        <color indexed="26"/>
      </right>
      <top/>
      <bottom style="thin">
        <color indexed="26"/>
      </bottom>
      <diagonal/>
    </border>
    <border>
      <left style="double">
        <color theme="3" tint="-0.24994659260841701"/>
      </left>
      <right/>
      <top style="double">
        <color theme="3" tint="-0.24994659260841701"/>
      </top>
      <bottom style="double">
        <color theme="3" tint="-0.24994659260841701"/>
      </bottom>
      <diagonal/>
    </border>
    <border>
      <left/>
      <right/>
      <top style="double">
        <color theme="3" tint="-0.24994659260841701"/>
      </top>
      <bottom style="double">
        <color theme="3" tint="-0.24994659260841701"/>
      </bottom>
      <diagonal/>
    </border>
    <border>
      <left/>
      <right style="double">
        <color theme="3" tint="-0.24994659260841701"/>
      </right>
      <top style="double">
        <color theme="3" tint="-0.24994659260841701"/>
      </top>
      <bottom style="double">
        <color theme="3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6"/>
      </left>
      <right/>
      <top style="double">
        <color theme="3" tint="-0.24994659260841701"/>
      </top>
      <bottom style="thin">
        <color indexed="26"/>
      </bottom>
      <diagonal/>
    </border>
    <border>
      <left/>
      <right/>
      <top style="double">
        <color theme="3" tint="-0.24994659260841701"/>
      </top>
      <bottom style="thin">
        <color indexed="26"/>
      </bottom>
      <diagonal/>
    </border>
    <border>
      <left/>
      <right style="thin">
        <color indexed="26"/>
      </right>
      <top style="double">
        <color theme="3" tint="-0.24994659260841701"/>
      </top>
      <bottom style="thin">
        <color indexed="2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/>
      <top/>
      <bottom style="double">
        <color theme="0" tint="-4.9989318521683403E-2"/>
      </bottom>
      <diagonal/>
    </border>
    <border>
      <left style="double">
        <color theme="0" tint="-4.9989318521683403E-2"/>
      </left>
      <right/>
      <top style="double">
        <color theme="0" tint="-4.9989318521683403E-2"/>
      </top>
      <bottom style="double">
        <color theme="0" tint="-4.9989318521683403E-2"/>
      </bottom>
      <diagonal/>
    </border>
    <border>
      <left/>
      <right/>
      <top style="double">
        <color theme="0" tint="-4.9989318521683403E-2"/>
      </top>
      <bottom style="double">
        <color theme="0" tint="-4.9989318521683403E-2"/>
      </bottom>
      <diagonal/>
    </border>
    <border>
      <left/>
      <right style="double">
        <color theme="0" tint="-4.9989318521683403E-2"/>
      </right>
      <top style="double">
        <color theme="0" tint="-4.9989318521683403E-2"/>
      </top>
      <bottom style="double">
        <color theme="0" tint="-4.9989318521683403E-2"/>
      </bottom>
      <diagonal/>
    </border>
    <border>
      <left/>
      <right style="double">
        <color indexed="64"/>
      </right>
      <top/>
      <bottom/>
      <diagonal/>
    </border>
  </borders>
  <cellStyleXfs count="5">
    <xf numFmtId="0" fontId="0" fillId="0" borderId="0"/>
    <xf numFmtId="166" fontId="29" fillId="0" borderId="0"/>
    <xf numFmtId="0" fontId="30" fillId="0" borderId="0"/>
    <xf numFmtId="9" fontId="40" fillId="0" borderId="0" applyFont="0" applyFill="0" applyBorder="0" applyAlignment="0" applyProtection="0"/>
    <xf numFmtId="0" fontId="60" fillId="0" borderId="0" applyNumberFormat="0" applyFill="0" applyBorder="0" applyAlignment="0" applyProtection="0"/>
  </cellStyleXfs>
  <cellXfs count="455">
    <xf numFmtId="0" fontId="0" fillId="0" borderId="0" xfId="0"/>
    <xf numFmtId="0" fontId="0" fillId="27" borderId="0" xfId="0" applyFill="1" applyAlignment="1" applyProtection="1">
      <alignment horizontal="right" vertical="center"/>
      <protection hidden="1"/>
    </xf>
    <xf numFmtId="0" fontId="0" fillId="14" borderId="0" xfId="0" applyFill="1" applyProtection="1">
      <protection hidden="1"/>
    </xf>
    <xf numFmtId="0" fontId="0" fillId="14" borderId="0" xfId="0" applyFill="1" applyAlignment="1" applyProtection="1">
      <alignment horizontal="left" vertical="center"/>
      <protection hidden="1"/>
    </xf>
    <xf numFmtId="0" fontId="0" fillId="14" borderId="0" xfId="0" applyFill="1" applyAlignment="1" applyProtection="1">
      <alignment horizontal="center" vertical="center"/>
      <protection hidden="1"/>
    </xf>
    <xf numFmtId="0" fontId="0" fillId="14" borderId="0" xfId="0" applyFill="1" applyAlignment="1" applyProtection="1">
      <alignment vertical="center"/>
      <protection hidden="1"/>
    </xf>
    <xf numFmtId="0" fontId="0" fillId="27" borderId="0" xfId="0" applyFill="1" applyAlignment="1" applyProtection="1">
      <alignment horizontal="center" vertical="center"/>
      <protection hidden="1"/>
    </xf>
    <xf numFmtId="0" fontId="0" fillId="27" borderId="0" xfId="0" applyFill="1" applyProtection="1">
      <protection hidden="1"/>
    </xf>
    <xf numFmtId="0" fontId="0" fillId="0" borderId="0" xfId="0" applyFill="1" applyProtection="1">
      <protection hidden="1"/>
    </xf>
    <xf numFmtId="0" fontId="0" fillId="0" borderId="0" xfId="0" applyProtection="1">
      <protection hidden="1"/>
    </xf>
    <xf numFmtId="0" fontId="10" fillId="8" borderId="0" xfId="0" applyFont="1" applyFill="1" applyBorder="1" applyAlignment="1" applyProtection="1">
      <alignment horizontal="right" vertical="center" wrapText="1" indent="1"/>
      <protection hidden="1"/>
    </xf>
    <xf numFmtId="2" fontId="27" fillId="8" borderId="0" xfId="0" applyNumberFormat="1" applyFont="1" applyFill="1" applyBorder="1" applyAlignment="1" applyProtection="1">
      <alignment horizontal="right" vertical="center" indent="1"/>
      <protection hidden="1"/>
    </xf>
    <xf numFmtId="0" fontId="0" fillId="8" borderId="0" xfId="0" applyFill="1" applyAlignment="1" applyProtection="1">
      <alignment horizontal="left" vertical="center"/>
      <protection hidden="1"/>
    </xf>
    <xf numFmtId="0" fontId="0" fillId="8" borderId="0" xfId="0" applyFill="1" applyAlignment="1" applyProtection="1">
      <alignment horizontal="center" vertical="center"/>
      <protection hidden="1"/>
    </xf>
    <xf numFmtId="0" fontId="0" fillId="8" borderId="0" xfId="0" applyFill="1" applyAlignment="1" applyProtection="1">
      <alignment vertical="center"/>
      <protection hidden="1"/>
    </xf>
    <xf numFmtId="0" fontId="32" fillId="8" borderId="0" xfId="0" applyFont="1" applyFill="1" applyBorder="1" applyAlignment="1" applyProtection="1">
      <alignment horizontal="right" vertical="center" wrapText="1"/>
      <protection hidden="1"/>
    </xf>
    <xf numFmtId="0" fontId="10" fillId="8" borderId="0" xfId="0" applyFont="1" applyFill="1" applyBorder="1" applyAlignment="1" applyProtection="1">
      <alignment horizontal="right" vertical="center" wrapText="1"/>
      <protection hidden="1"/>
    </xf>
    <xf numFmtId="0" fontId="34" fillId="8" borderId="0" xfId="0" applyFont="1" applyFill="1" applyBorder="1" applyAlignment="1" applyProtection="1">
      <alignment horizontal="center" vertical="center"/>
      <protection hidden="1"/>
    </xf>
    <xf numFmtId="2" fontId="27" fillId="27" borderId="0" xfId="0" applyNumberFormat="1" applyFont="1" applyFill="1" applyBorder="1" applyAlignment="1" applyProtection="1">
      <alignment horizontal="right" vertical="center"/>
      <protection hidden="1"/>
    </xf>
    <xf numFmtId="0" fontId="0" fillId="14" borderId="0" xfId="0" applyFill="1" applyBorder="1" applyProtection="1">
      <protection hidden="1"/>
    </xf>
    <xf numFmtId="0" fontId="36" fillId="8" borderId="0" xfId="0" applyFont="1" applyFill="1" applyBorder="1" applyAlignment="1" applyProtection="1">
      <alignment horizontal="center" vertical="center" wrapText="1"/>
      <protection hidden="1"/>
    </xf>
    <xf numFmtId="0" fontId="0" fillId="8" borderId="0" xfId="0" applyFill="1" applyBorder="1" applyProtection="1">
      <protection hidden="1"/>
    </xf>
    <xf numFmtId="0" fontId="27" fillId="8" borderId="0" xfId="0" applyFont="1" applyFill="1" applyBorder="1" applyAlignment="1" applyProtection="1">
      <alignment horizontal="right" vertical="center"/>
      <protection hidden="1"/>
    </xf>
    <xf numFmtId="165" fontId="27" fillId="8" borderId="0" xfId="0" applyNumberFormat="1" applyFont="1" applyFill="1" applyBorder="1" applyAlignment="1" applyProtection="1">
      <alignment horizontal="right" vertical="center"/>
      <protection hidden="1"/>
    </xf>
    <xf numFmtId="0" fontId="0" fillId="3" borderId="0" xfId="0" applyFill="1" applyProtection="1">
      <protection hidden="1"/>
    </xf>
    <xf numFmtId="0" fontId="0" fillId="8" borderId="0" xfId="0" applyFill="1" applyProtection="1">
      <protection hidden="1"/>
    </xf>
    <xf numFmtId="0" fontId="10" fillId="8" borderId="9" xfId="0" applyFont="1" applyFill="1" applyBorder="1" applyAlignment="1" applyProtection="1">
      <alignment vertical="center" wrapText="1"/>
      <protection hidden="1"/>
    </xf>
    <xf numFmtId="0" fontId="0" fillId="8" borderId="9" xfId="0" applyFill="1" applyBorder="1" applyAlignment="1" applyProtection="1">
      <alignment horizontal="left" vertical="center"/>
      <protection hidden="1"/>
    </xf>
    <xf numFmtId="0" fontId="27" fillId="8" borderId="9" xfId="0" applyFont="1" applyFill="1" applyBorder="1" applyAlignment="1" applyProtection="1">
      <alignment horizontal="right" vertical="center"/>
      <protection hidden="1"/>
    </xf>
    <xf numFmtId="0" fontId="0" fillId="8" borderId="9" xfId="0" applyFill="1" applyBorder="1" applyAlignment="1" applyProtection="1">
      <alignment vertical="center"/>
      <protection hidden="1"/>
    </xf>
    <xf numFmtId="0" fontId="9" fillId="14" borderId="5" xfId="0" applyNumberFormat="1" applyFont="1" applyFill="1" applyBorder="1" applyAlignment="1" applyProtection="1">
      <alignment horizontal="center" vertical="center"/>
      <protection hidden="1"/>
    </xf>
    <xf numFmtId="0" fontId="5" fillId="14" borderId="9" xfId="0" applyFont="1" applyFill="1" applyBorder="1" applyAlignment="1" applyProtection="1">
      <alignment horizontal="center" vertical="center"/>
      <protection hidden="1"/>
    </xf>
    <xf numFmtId="0" fontId="10" fillId="14" borderId="5" xfId="0" applyFont="1" applyFill="1" applyBorder="1" applyAlignment="1" applyProtection="1">
      <alignment horizontal="center" vertical="center"/>
      <protection hidden="1"/>
    </xf>
    <xf numFmtId="0" fontId="9" fillId="14" borderId="5" xfId="0" applyNumberFormat="1" applyFont="1" applyFill="1" applyBorder="1" applyAlignment="1" applyProtection="1">
      <alignment horizontal="right" vertical="center"/>
      <protection hidden="1"/>
    </xf>
    <xf numFmtId="0" fontId="5" fillId="14" borderId="5" xfId="0" applyFont="1" applyFill="1" applyBorder="1" applyAlignment="1" applyProtection="1">
      <alignment horizontal="center" vertical="center"/>
      <protection hidden="1"/>
    </xf>
    <xf numFmtId="4" fontId="2" fillId="14" borderId="5" xfId="0" applyNumberFormat="1" applyFont="1" applyFill="1" applyBorder="1" applyAlignment="1" applyProtection="1">
      <alignment horizontal="center" vertical="center"/>
      <protection hidden="1"/>
    </xf>
    <xf numFmtId="0" fontId="5" fillId="13" borderId="0" xfId="0" applyFont="1" applyFill="1" applyBorder="1" applyAlignment="1" applyProtection="1">
      <alignment horizontal="center" vertical="center"/>
      <protection hidden="1"/>
    </xf>
    <xf numFmtId="1" fontId="5" fillId="13" borderId="0" xfId="0" applyNumberFormat="1" applyFont="1" applyFill="1" applyBorder="1" applyAlignment="1" applyProtection="1">
      <alignment horizontal="center" vertical="center"/>
      <protection hidden="1"/>
    </xf>
    <xf numFmtId="0" fontId="7" fillId="13" borderId="0" xfId="0" applyFont="1" applyFill="1" applyBorder="1" applyAlignment="1" applyProtection="1">
      <alignment horizontal="right" vertical="center"/>
      <protection hidden="1"/>
    </xf>
    <xf numFmtId="4" fontId="2" fillId="13" borderId="0" xfId="0" applyNumberFormat="1" applyFont="1" applyFill="1" applyBorder="1" applyAlignment="1" applyProtection="1">
      <alignment horizontal="center" vertical="center"/>
      <protection hidden="1"/>
    </xf>
    <xf numFmtId="0" fontId="0" fillId="5" borderId="0" xfId="0" applyFill="1" applyProtection="1">
      <protection hidden="1"/>
    </xf>
    <xf numFmtId="0" fontId="0" fillId="15" borderId="0" xfId="0" applyFill="1" applyAlignment="1" applyProtection="1">
      <alignment horizontal="right" vertical="center"/>
      <protection hidden="1"/>
    </xf>
    <xf numFmtId="0" fontId="37" fillId="24" borderId="19" xfId="0" applyNumberFormat="1" applyFont="1" applyFill="1" applyBorder="1" applyAlignment="1" applyProtection="1">
      <alignment horizontal="center" vertical="center"/>
      <protection hidden="1"/>
    </xf>
    <xf numFmtId="0" fontId="37" fillId="31" borderId="20" xfId="0" applyNumberFormat="1" applyFont="1" applyFill="1" applyBorder="1" applyAlignment="1" applyProtection="1">
      <alignment horizontal="center" vertical="center"/>
      <protection hidden="1"/>
    </xf>
    <xf numFmtId="0" fontId="37" fillId="24" borderId="20" xfId="0" applyNumberFormat="1" applyFont="1" applyFill="1" applyBorder="1" applyAlignment="1" applyProtection="1">
      <alignment horizontal="center" vertical="center"/>
      <protection hidden="1"/>
    </xf>
    <xf numFmtId="0" fontId="37" fillId="24" borderId="21" xfId="0" applyNumberFormat="1" applyFont="1" applyFill="1" applyBorder="1" applyAlignment="1" applyProtection="1">
      <alignment horizontal="center" vertical="center"/>
      <protection hidden="1"/>
    </xf>
    <xf numFmtId="0" fontId="8" fillId="13" borderId="0" xfId="0" applyNumberFormat="1" applyFont="1" applyFill="1" applyBorder="1" applyAlignment="1" applyProtection="1">
      <alignment horizontal="center" vertical="center"/>
      <protection hidden="1"/>
    </xf>
    <xf numFmtId="1" fontId="38" fillId="16" borderId="4" xfId="0" applyNumberFormat="1" applyFont="1" applyFill="1" applyBorder="1" applyAlignment="1" applyProtection="1">
      <alignment horizontal="center" vertical="center"/>
      <protection hidden="1"/>
    </xf>
    <xf numFmtId="0" fontId="38" fillId="16" borderId="4" xfId="0" applyNumberFormat="1" applyFont="1" applyFill="1" applyBorder="1" applyAlignment="1" applyProtection="1">
      <alignment horizontal="center" vertical="center"/>
      <protection hidden="1"/>
    </xf>
    <xf numFmtId="0" fontId="38" fillId="16" borderId="1" xfId="0" applyNumberFormat="1" applyFont="1" applyFill="1" applyBorder="1" applyAlignment="1" applyProtection="1">
      <alignment horizontal="center" vertical="center"/>
      <protection hidden="1"/>
    </xf>
    <xf numFmtId="168" fontId="38" fillId="16" borderId="1" xfId="0" applyNumberFormat="1" applyFont="1" applyFill="1" applyBorder="1" applyAlignment="1" applyProtection="1">
      <alignment horizontal="right" vertical="center"/>
      <protection hidden="1"/>
    </xf>
    <xf numFmtId="168" fontId="38" fillId="16" borderId="16" xfId="0" applyNumberFormat="1" applyFont="1" applyFill="1" applyBorder="1" applyAlignment="1" applyProtection="1">
      <alignment horizontal="right" vertical="center"/>
      <protection hidden="1"/>
    </xf>
    <xf numFmtId="2" fontId="12" fillId="13" borderId="0" xfId="0" applyNumberFormat="1" applyFont="1" applyFill="1" applyBorder="1" applyAlignment="1" applyProtection="1">
      <alignment horizontal="right" vertical="center"/>
      <protection hidden="1"/>
    </xf>
    <xf numFmtId="1" fontId="38" fillId="16" borderId="1" xfId="0" applyNumberFormat="1" applyFont="1" applyFill="1" applyBorder="1" applyAlignment="1" applyProtection="1">
      <alignment horizontal="center" vertical="center"/>
      <protection hidden="1"/>
    </xf>
    <xf numFmtId="168" fontId="38" fillId="16" borderId="13" xfId="0" applyNumberFormat="1" applyFont="1" applyFill="1" applyBorder="1" applyAlignment="1" applyProtection="1">
      <alignment horizontal="right" vertical="center"/>
      <protection hidden="1"/>
    </xf>
    <xf numFmtId="1" fontId="12" fillId="3" borderId="1" xfId="0" applyNumberFormat="1" applyFont="1" applyFill="1" applyBorder="1" applyAlignment="1" applyProtection="1">
      <alignment horizontal="center" vertical="center"/>
      <protection hidden="1"/>
    </xf>
    <xf numFmtId="0" fontId="43" fillId="3" borderId="1" xfId="0" applyNumberFormat="1" applyFont="1" applyFill="1" applyBorder="1" applyAlignment="1" applyProtection="1">
      <alignment horizontal="center" vertical="center"/>
      <protection hidden="1"/>
    </xf>
    <xf numFmtId="0" fontId="12" fillId="3" borderId="1" xfId="0" applyNumberFormat="1" applyFont="1" applyFill="1" applyBorder="1" applyAlignment="1" applyProtection="1">
      <alignment horizontal="center" vertical="center"/>
      <protection hidden="1"/>
    </xf>
    <xf numFmtId="168" fontId="12" fillId="3" borderId="1" xfId="0" applyNumberFormat="1" applyFont="1" applyFill="1" applyBorder="1" applyAlignment="1" applyProtection="1">
      <alignment horizontal="right" vertical="center"/>
      <protection hidden="1"/>
    </xf>
    <xf numFmtId="168" fontId="12" fillId="3" borderId="13" xfId="0" applyNumberFormat="1" applyFont="1" applyFill="1" applyBorder="1" applyAlignment="1" applyProtection="1">
      <alignment horizontal="right" vertical="center"/>
      <protection hidden="1"/>
    </xf>
    <xf numFmtId="1" fontId="12" fillId="16" borderId="1" xfId="0" applyNumberFormat="1" applyFont="1" applyFill="1" applyBorder="1" applyAlignment="1" applyProtection="1">
      <alignment horizontal="center" vertical="center"/>
      <protection hidden="1"/>
    </xf>
    <xf numFmtId="0" fontId="43" fillId="16" borderId="1" xfId="0" applyNumberFormat="1" applyFont="1" applyFill="1" applyBorder="1" applyAlignment="1" applyProtection="1">
      <alignment horizontal="center" vertical="center"/>
      <protection hidden="1"/>
    </xf>
    <xf numFmtId="0" fontId="12" fillId="16" borderId="1" xfId="0" applyNumberFormat="1" applyFont="1" applyFill="1" applyBorder="1" applyAlignment="1" applyProtection="1">
      <alignment horizontal="center" vertical="center"/>
      <protection hidden="1"/>
    </xf>
    <xf numFmtId="168" fontId="12" fillId="16" borderId="1" xfId="0" applyNumberFormat="1" applyFont="1" applyFill="1" applyBorder="1" applyAlignment="1" applyProtection="1">
      <alignment horizontal="right" vertical="center"/>
      <protection hidden="1"/>
    </xf>
    <xf numFmtId="168" fontId="12" fillId="16" borderId="13" xfId="0" applyNumberFormat="1" applyFont="1" applyFill="1" applyBorder="1" applyAlignment="1" applyProtection="1">
      <alignment horizontal="right" vertical="center"/>
      <protection hidden="1"/>
    </xf>
    <xf numFmtId="1" fontId="4" fillId="14" borderId="5" xfId="0" applyNumberFormat="1" applyFont="1" applyFill="1" applyBorder="1" applyAlignment="1" applyProtection="1">
      <alignment horizontal="center" vertical="center"/>
      <protection hidden="1"/>
    </xf>
    <xf numFmtId="0" fontId="4" fillId="14" borderId="5" xfId="0" applyNumberFormat="1" applyFont="1" applyFill="1" applyBorder="1" applyAlignment="1" applyProtection="1">
      <alignment horizontal="center" vertical="center"/>
      <protection hidden="1"/>
    </xf>
    <xf numFmtId="0" fontId="4" fillId="14" borderId="5" xfId="0" applyNumberFormat="1" applyFont="1" applyFill="1" applyBorder="1" applyAlignment="1" applyProtection="1">
      <alignment horizontal="right" vertical="center"/>
      <protection hidden="1"/>
    </xf>
    <xf numFmtId="164" fontId="4" fillId="14" borderId="5" xfId="0" applyNumberFormat="1" applyFont="1" applyFill="1" applyBorder="1" applyAlignment="1" applyProtection="1">
      <alignment horizontal="right" vertical="center"/>
      <protection hidden="1"/>
    </xf>
    <xf numFmtId="0" fontId="11" fillId="14" borderId="5" xfId="0" applyNumberFormat="1" applyFont="1" applyFill="1" applyBorder="1" applyAlignment="1" applyProtection="1">
      <alignment horizontal="right" vertical="center"/>
      <protection hidden="1"/>
    </xf>
    <xf numFmtId="4" fontId="14" fillId="19" borderId="5" xfId="0" applyNumberFormat="1" applyFont="1" applyFill="1" applyBorder="1" applyAlignment="1" applyProtection="1">
      <alignment horizontal="right" vertical="center"/>
      <protection hidden="1"/>
    </xf>
    <xf numFmtId="4" fontId="14" fillId="14" borderId="9" xfId="0" applyNumberFormat="1" applyFont="1" applyFill="1" applyBorder="1" applyAlignment="1" applyProtection="1">
      <alignment horizontal="right" vertical="center"/>
      <protection hidden="1"/>
    </xf>
    <xf numFmtId="0" fontId="0" fillId="27" borderId="23" xfId="0" applyFill="1" applyBorder="1" applyProtection="1">
      <protection hidden="1"/>
    </xf>
    <xf numFmtId="1" fontId="4" fillId="27" borderId="5" xfId="0" applyNumberFormat="1" applyFont="1" applyFill="1" applyBorder="1" applyAlignment="1" applyProtection="1">
      <alignment horizontal="center" vertical="center"/>
      <protection hidden="1"/>
    </xf>
    <xf numFmtId="0" fontId="4" fillId="27" borderId="5" xfId="0" applyNumberFormat="1" applyFont="1" applyFill="1" applyBorder="1" applyAlignment="1" applyProtection="1">
      <alignment horizontal="center" vertical="center"/>
      <protection hidden="1"/>
    </xf>
    <xf numFmtId="0" fontId="4" fillId="27" borderId="5" xfId="0" applyNumberFormat="1" applyFont="1" applyFill="1" applyBorder="1" applyAlignment="1" applyProtection="1">
      <alignment horizontal="right" vertical="center"/>
      <protection hidden="1"/>
    </xf>
    <xf numFmtId="164" fontId="4" fillId="27" borderId="5" xfId="0" applyNumberFormat="1" applyFont="1" applyFill="1" applyBorder="1" applyAlignment="1" applyProtection="1">
      <alignment horizontal="right" vertical="center"/>
      <protection hidden="1"/>
    </xf>
    <xf numFmtId="0" fontId="11" fillId="27" borderId="5" xfId="0" applyNumberFormat="1" applyFont="1" applyFill="1" applyBorder="1" applyAlignment="1" applyProtection="1">
      <alignment horizontal="right" vertical="center"/>
      <protection hidden="1"/>
    </xf>
    <xf numFmtId="4" fontId="14" fillId="27" borderId="5" xfId="0" applyNumberFormat="1" applyFont="1" applyFill="1" applyBorder="1" applyAlignment="1" applyProtection="1">
      <alignment horizontal="right" vertical="center"/>
      <protection hidden="1"/>
    </xf>
    <xf numFmtId="4" fontId="14" fillId="27" borderId="6" xfId="0" applyNumberFormat="1" applyFont="1" applyFill="1" applyBorder="1" applyAlignment="1" applyProtection="1">
      <alignment horizontal="right" vertical="center"/>
      <protection hidden="1"/>
    </xf>
    <xf numFmtId="4" fontId="0" fillId="14" borderId="0" xfId="0" applyNumberFormat="1" applyFill="1" applyProtection="1">
      <protection hidden="1"/>
    </xf>
    <xf numFmtId="2" fontId="46" fillId="27" borderId="0" xfId="0" applyNumberFormat="1" applyFont="1" applyFill="1" applyBorder="1" applyAlignment="1" applyProtection="1">
      <alignment horizontal="right" vertical="center"/>
      <protection hidden="1"/>
    </xf>
    <xf numFmtId="0" fontId="0" fillId="20" borderId="0" xfId="0" applyFill="1" applyProtection="1">
      <protection hidden="1"/>
    </xf>
    <xf numFmtId="0" fontId="0" fillId="3" borderId="0" xfId="0" applyFill="1" applyAlignment="1" applyProtection="1">
      <alignment horizontal="center" vertical="center"/>
      <protection hidden="1"/>
    </xf>
    <xf numFmtId="1" fontId="12" fillId="16" borderId="14" xfId="0" applyNumberFormat="1" applyFont="1" applyFill="1" applyBorder="1" applyAlignment="1" applyProtection="1">
      <alignment horizontal="center" vertical="center"/>
      <protection hidden="1"/>
    </xf>
    <xf numFmtId="0" fontId="43" fillId="16" borderId="4" xfId="0" applyNumberFormat="1" applyFont="1" applyFill="1" applyBorder="1" applyAlignment="1" applyProtection="1">
      <alignment horizontal="center" vertical="center"/>
      <protection hidden="1"/>
    </xf>
    <xf numFmtId="0" fontId="0" fillId="27" borderId="0" xfId="0" applyFill="1" applyBorder="1" applyAlignment="1" applyProtection="1">
      <alignment horizontal="right" vertical="center"/>
      <protection hidden="1"/>
    </xf>
    <xf numFmtId="0" fontId="9" fillId="14" borderId="22" xfId="0" applyNumberFormat="1" applyFont="1" applyFill="1" applyBorder="1" applyAlignment="1" applyProtection="1">
      <alignment horizontal="center" vertical="center"/>
      <protection hidden="1"/>
    </xf>
    <xf numFmtId="1" fontId="4" fillId="14" borderId="22" xfId="0" applyNumberFormat="1" applyFont="1" applyFill="1" applyBorder="1" applyAlignment="1" applyProtection="1">
      <alignment horizontal="center" vertical="center"/>
      <protection hidden="1"/>
    </xf>
    <xf numFmtId="0" fontId="4" fillId="14" borderId="22" xfId="0" applyNumberFormat="1" applyFont="1" applyFill="1" applyBorder="1" applyAlignment="1" applyProtection="1">
      <alignment horizontal="center" vertical="center"/>
      <protection hidden="1"/>
    </xf>
    <xf numFmtId="0" fontId="4" fillId="14" borderId="22" xfId="0" applyNumberFormat="1" applyFont="1" applyFill="1" applyBorder="1" applyAlignment="1" applyProtection="1">
      <alignment horizontal="right" vertical="center"/>
      <protection hidden="1"/>
    </xf>
    <xf numFmtId="164" fontId="4" fillId="14" borderId="22" xfId="0" applyNumberFormat="1" applyFont="1" applyFill="1" applyBorder="1" applyAlignment="1" applyProtection="1">
      <alignment horizontal="right" vertical="center"/>
      <protection hidden="1"/>
    </xf>
    <xf numFmtId="0" fontId="11" fillId="14" borderId="22" xfId="0" applyNumberFormat="1" applyFont="1" applyFill="1" applyBorder="1" applyAlignment="1" applyProtection="1">
      <alignment horizontal="right" vertical="center"/>
      <protection hidden="1"/>
    </xf>
    <xf numFmtId="4" fontId="14" fillId="19" borderId="22" xfId="0" applyNumberFormat="1" applyFont="1" applyFill="1" applyBorder="1" applyAlignment="1" applyProtection="1">
      <alignment horizontal="right" vertical="center"/>
      <protection hidden="1"/>
    </xf>
    <xf numFmtId="4" fontId="14" fillId="14" borderId="0" xfId="0" applyNumberFormat="1" applyFont="1" applyFill="1" applyBorder="1" applyAlignment="1" applyProtection="1">
      <alignment horizontal="right" vertical="center"/>
      <protection hidden="1"/>
    </xf>
    <xf numFmtId="0" fontId="0" fillId="8" borderId="0" xfId="0" applyFill="1" applyBorder="1" applyAlignment="1" applyProtection="1">
      <alignment horizontal="left" vertical="center"/>
      <protection hidden="1"/>
    </xf>
    <xf numFmtId="0" fontId="44" fillId="3" borderId="0" xfId="0" applyFont="1" applyFill="1" applyAlignment="1" applyProtection="1">
      <alignment horizontal="center" vertical="center"/>
      <protection hidden="1"/>
    </xf>
    <xf numFmtId="0" fontId="10" fillId="8" borderId="0" xfId="0" applyFont="1" applyFill="1" applyBorder="1" applyAlignment="1" applyProtection="1">
      <alignment vertical="center" wrapText="1"/>
      <protection hidden="1"/>
    </xf>
    <xf numFmtId="0" fontId="45" fillId="3" borderId="1" xfId="0" applyNumberFormat="1" applyFont="1" applyFill="1" applyBorder="1" applyAlignment="1" applyProtection="1">
      <alignment horizontal="center" vertical="center"/>
      <protection hidden="1"/>
    </xf>
    <xf numFmtId="0" fontId="12" fillId="3" borderId="13" xfId="0" applyNumberFormat="1" applyFont="1" applyFill="1" applyBorder="1" applyAlignment="1" applyProtection="1">
      <alignment horizontal="left" vertical="center"/>
      <protection hidden="1"/>
    </xf>
    <xf numFmtId="0" fontId="12" fillId="3" borderId="15" xfId="0" applyNumberFormat="1" applyFont="1" applyFill="1" applyBorder="1" applyAlignment="1" applyProtection="1">
      <alignment horizontal="left" vertical="center"/>
      <protection hidden="1"/>
    </xf>
    <xf numFmtId="0" fontId="12" fillId="3" borderId="14" xfId="0" applyNumberFormat="1" applyFont="1" applyFill="1" applyBorder="1" applyAlignment="1" applyProtection="1">
      <alignment horizontal="left" vertical="center"/>
      <protection hidden="1"/>
    </xf>
    <xf numFmtId="0" fontId="2" fillId="15" borderId="0" xfId="0" applyFont="1" applyFill="1" applyAlignment="1" applyProtection="1">
      <alignment horizontal="right" vertical="center"/>
      <protection hidden="1"/>
    </xf>
    <xf numFmtId="0" fontId="38" fillId="16" borderId="0" xfId="0" applyNumberFormat="1" applyFont="1" applyFill="1" applyBorder="1" applyAlignment="1" applyProtection="1">
      <alignment horizontal="center" vertical="center"/>
      <protection hidden="1"/>
    </xf>
    <xf numFmtId="0" fontId="0" fillId="3" borderId="0" xfId="0" applyFont="1" applyFill="1" applyAlignment="1" applyProtection="1">
      <alignment horizontal="center" vertical="center"/>
      <protection hidden="1"/>
    </xf>
    <xf numFmtId="168" fontId="12" fillId="16" borderId="1" xfId="0" applyNumberFormat="1" applyFont="1" applyFill="1" applyBorder="1" applyAlignment="1" applyProtection="1">
      <alignment horizontal="center" vertical="center"/>
      <protection hidden="1"/>
    </xf>
    <xf numFmtId="0" fontId="31" fillId="33" borderId="0" xfId="0" applyFont="1" applyFill="1" applyAlignment="1" applyProtection="1">
      <alignment horizontal="right" vertical="center"/>
      <protection hidden="1"/>
    </xf>
    <xf numFmtId="1" fontId="4" fillId="14" borderId="0" xfId="0" applyNumberFormat="1" applyFont="1" applyFill="1" applyBorder="1" applyAlignment="1" applyProtection="1">
      <alignment horizontal="center" vertical="center"/>
      <protection hidden="1"/>
    </xf>
    <xf numFmtId="0" fontId="4" fillId="14" borderId="0" xfId="0" applyNumberFormat="1" applyFont="1" applyFill="1" applyBorder="1" applyAlignment="1" applyProtection="1">
      <alignment horizontal="center" vertical="center"/>
      <protection hidden="1"/>
    </xf>
    <xf numFmtId="0" fontId="4" fillId="14" borderId="0" xfId="0" applyNumberFormat="1" applyFont="1" applyFill="1" applyBorder="1" applyAlignment="1" applyProtection="1">
      <alignment horizontal="right" vertical="center"/>
      <protection hidden="1"/>
    </xf>
    <xf numFmtId="164" fontId="4" fillId="14" borderId="0" xfId="0" applyNumberFormat="1" applyFont="1" applyFill="1" applyBorder="1" applyAlignment="1" applyProtection="1">
      <alignment horizontal="right" vertical="center"/>
      <protection hidden="1"/>
    </xf>
    <xf numFmtId="0" fontId="11" fillId="14" borderId="0" xfId="0" applyNumberFormat="1" applyFont="1" applyFill="1" applyBorder="1" applyAlignment="1" applyProtection="1">
      <alignment horizontal="right" vertical="center"/>
      <protection hidden="1"/>
    </xf>
    <xf numFmtId="4" fontId="13" fillId="14" borderId="0" xfId="0" applyNumberFormat="1" applyFont="1" applyFill="1" applyBorder="1" applyAlignment="1" applyProtection="1">
      <alignment horizontal="right" vertical="center"/>
      <protection hidden="1"/>
    </xf>
    <xf numFmtId="0" fontId="0" fillId="27" borderId="0" xfId="0" applyFill="1" applyAlignment="1" applyProtection="1">
      <alignment horizontal="right"/>
      <protection hidden="1"/>
    </xf>
    <xf numFmtId="0" fontId="0" fillId="27" borderId="0" xfId="0" applyFill="1" applyAlignment="1" applyProtection="1">
      <alignment horizontal="left" vertical="center"/>
      <protection hidden="1"/>
    </xf>
    <xf numFmtId="0" fontId="0" fillId="27" borderId="0" xfId="0" applyFill="1" applyAlignment="1" applyProtection="1">
      <alignment vertical="center"/>
      <protection hidden="1"/>
    </xf>
    <xf numFmtId="4" fontId="13" fillId="27" borderId="0" xfId="0" applyNumberFormat="1" applyFont="1" applyFill="1" applyBorder="1" applyAlignment="1" applyProtection="1">
      <alignment horizontal="right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27" fillId="15" borderId="0" xfId="0" applyFont="1" applyFill="1" applyBorder="1" applyAlignment="1" applyProtection="1">
      <alignment horizontal="center" vertical="center"/>
      <protection locked="0" hidden="1"/>
    </xf>
    <xf numFmtId="0" fontId="27" fillId="15" borderId="0" xfId="0" applyFont="1" applyFill="1" applyBorder="1" applyAlignment="1" applyProtection="1">
      <alignment horizontal="right" vertical="center"/>
      <protection locked="0" hidden="1"/>
    </xf>
    <xf numFmtId="0" fontId="35" fillId="15" borderId="0" xfId="0" applyFont="1" applyFill="1" applyBorder="1" applyAlignment="1" applyProtection="1">
      <alignment horizontal="right" vertical="center"/>
      <protection locked="0" hidden="1"/>
    </xf>
    <xf numFmtId="0" fontId="35" fillId="15" borderId="0" xfId="0" applyFont="1" applyFill="1" applyBorder="1" applyAlignment="1" applyProtection="1">
      <alignment horizontal="center" vertical="center"/>
      <protection locked="0" hidden="1"/>
    </xf>
    <xf numFmtId="3" fontId="39" fillId="15" borderId="0" xfId="0" applyNumberFormat="1" applyFont="1" applyFill="1" applyBorder="1" applyAlignment="1" applyProtection="1">
      <alignment horizontal="right" vertical="center"/>
      <protection locked="0" hidden="1"/>
    </xf>
    <xf numFmtId="0" fontId="46" fillId="15" borderId="0" xfId="0" applyFont="1" applyFill="1" applyBorder="1" applyAlignment="1" applyProtection="1">
      <alignment horizontal="right" vertical="center"/>
      <protection locked="0" hidden="1"/>
    </xf>
    <xf numFmtId="167" fontId="0" fillId="0" borderId="0" xfId="0" applyNumberFormat="1" applyProtection="1">
      <protection hidden="1"/>
    </xf>
    <xf numFmtId="0" fontId="0" fillId="13" borderId="0" xfId="0" applyFill="1" applyAlignment="1" applyProtection="1">
      <alignment horizontal="center"/>
      <protection hidden="1"/>
    </xf>
    <xf numFmtId="0" fontId="33" fillId="23" borderId="0" xfId="0" applyNumberFormat="1" applyFont="1" applyFill="1" applyBorder="1" applyAlignment="1" applyProtection="1">
      <alignment horizontal="center" vertical="center"/>
      <protection hidden="1"/>
    </xf>
    <xf numFmtId="0" fontId="31" fillId="23" borderId="0" xfId="0" applyFont="1" applyFill="1" applyBorder="1" applyProtection="1"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2" fontId="0" fillId="7" borderId="0" xfId="0" applyNumberFormat="1" applyFill="1" applyProtection="1">
      <protection hidden="1"/>
    </xf>
    <xf numFmtId="170" fontId="0" fillId="7" borderId="0" xfId="3" applyNumberFormat="1" applyFont="1" applyFill="1" applyProtection="1">
      <protection hidden="1"/>
    </xf>
    <xf numFmtId="0" fontId="0" fillId="7" borderId="0" xfId="0" applyFill="1" applyProtection="1"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0" fillId="25" borderId="0" xfId="0" applyFill="1" applyAlignment="1" applyProtection="1">
      <alignment vertical="center"/>
      <protection hidden="1"/>
    </xf>
    <xf numFmtId="0" fontId="28" fillId="13" borderId="1" xfId="0" applyNumberFormat="1" applyFont="1" applyFill="1" applyBorder="1" applyAlignment="1" applyProtection="1">
      <alignment horizontal="center" vertical="center"/>
      <protection hidden="1"/>
    </xf>
    <xf numFmtId="0" fontId="28" fillId="13" borderId="7" xfId="0" applyNumberFormat="1" applyFont="1" applyFill="1" applyBorder="1" applyAlignment="1" applyProtection="1">
      <alignment horizontal="center" vertical="center"/>
      <protection hidden="1"/>
    </xf>
    <xf numFmtId="0" fontId="28" fillId="13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164" fontId="0" fillId="0" borderId="0" xfId="0" applyNumberFormat="1" applyAlignment="1" applyProtection="1">
      <alignment horizontal="center"/>
      <protection hidden="1"/>
    </xf>
    <xf numFmtId="1" fontId="3" fillId="2" borderId="1" xfId="0" applyNumberFormat="1" applyFont="1" applyFill="1" applyBorder="1" applyAlignment="1" applyProtection="1">
      <alignment horizontal="right" vertical="center"/>
      <protection hidden="1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1" xfId="0" applyNumberFormat="1" applyFont="1" applyFill="1" applyBorder="1" applyAlignment="1" applyProtection="1">
      <alignment horizontal="left" vertical="center"/>
      <protection hidden="1"/>
    </xf>
    <xf numFmtId="165" fontId="0" fillId="0" borderId="0" xfId="0" applyNumberForma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2" fontId="0" fillId="0" borderId="0" xfId="0" applyNumberFormat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2" borderId="0" xfId="0" applyNumberFormat="1" applyFont="1" applyFill="1" applyBorder="1" applyAlignment="1" applyProtection="1">
      <alignment horizontal="center" vertical="center"/>
      <protection hidden="1"/>
    </xf>
    <xf numFmtId="0" fontId="3" fillId="2" borderId="0" xfId="0" applyNumberFormat="1" applyFont="1" applyFill="1" applyBorder="1" applyAlignment="1" applyProtection="1">
      <alignment horizontal="left" vertical="center"/>
      <protection hidden="1"/>
    </xf>
    <xf numFmtId="0" fontId="28" fillId="0" borderId="4" xfId="0" applyNumberFormat="1" applyFont="1" applyFill="1" applyBorder="1" applyAlignment="1" applyProtection="1">
      <alignment horizontal="center" vertical="center"/>
      <protection hidden="1"/>
    </xf>
    <xf numFmtId="0" fontId="28" fillId="0" borderId="7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1" fontId="3" fillId="2" borderId="0" xfId="0" applyNumberFormat="1" applyFont="1" applyFill="1" applyBorder="1" applyAlignment="1" applyProtection="1">
      <alignment horizontal="right" vertical="center"/>
      <protection hidden="1"/>
    </xf>
    <xf numFmtId="165" fontId="3" fillId="2" borderId="0" xfId="0" applyNumberFormat="1" applyFont="1" applyFill="1" applyBorder="1" applyAlignment="1" applyProtection="1">
      <alignment horizontal="right" vertical="center"/>
      <protection hidden="1"/>
    </xf>
    <xf numFmtId="0" fontId="3" fillId="2" borderId="0" xfId="0" applyNumberFormat="1" applyFont="1" applyFill="1" applyBorder="1" applyAlignment="1" applyProtection="1">
      <alignment horizontal="right" vertical="center"/>
      <protection hidden="1"/>
    </xf>
    <xf numFmtId="0" fontId="0" fillId="0" borderId="0" xfId="0" applyFill="1" applyAlignment="1" applyProtection="1">
      <alignment horizontal="center"/>
      <protection hidden="1"/>
    </xf>
    <xf numFmtId="1" fontId="3" fillId="0" borderId="1" xfId="0" applyNumberFormat="1" applyFont="1" applyFill="1" applyBorder="1" applyAlignment="1" applyProtection="1">
      <alignment horizontal="right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left" vertical="center"/>
      <protection hidden="1"/>
    </xf>
    <xf numFmtId="0" fontId="0" fillId="0" borderId="0" xfId="0" applyFill="1" applyBorder="1" applyProtection="1">
      <protection hidden="1"/>
    </xf>
    <xf numFmtId="2" fontId="0" fillId="0" borderId="0" xfId="0" applyNumberFormat="1" applyFill="1" applyProtection="1">
      <protection hidden="1"/>
    </xf>
    <xf numFmtId="0" fontId="0" fillId="19" borderId="0" xfId="0" applyFill="1" applyAlignment="1" applyProtection="1">
      <alignment horizontal="center"/>
      <protection hidden="1"/>
    </xf>
    <xf numFmtId="1" fontId="3" fillId="2" borderId="3" xfId="0" applyNumberFormat="1" applyFont="1" applyFill="1" applyBorder="1" applyAlignment="1" applyProtection="1">
      <alignment horizontal="right" vertical="center"/>
      <protection hidden="1"/>
    </xf>
    <xf numFmtId="0" fontId="3" fillId="2" borderId="1" xfId="0" applyNumberFormat="1" applyFont="1" applyFill="1" applyBorder="1" applyAlignment="1" applyProtection="1">
      <alignment horizontal="right" vertical="center"/>
      <protection hidden="1"/>
    </xf>
    <xf numFmtId="1" fontId="3" fillId="6" borderId="0" xfId="0" applyNumberFormat="1" applyFont="1" applyFill="1" applyBorder="1" applyAlignment="1" applyProtection="1">
      <alignment horizontal="right" vertical="center"/>
      <protection hidden="1"/>
    </xf>
    <xf numFmtId="0" fontId="3" fillId="30" borderId="0" xfId="0" applyNumberFormat="1" applyFont="1" applyFill="1" applyBorder="1" applyAlignment="1" applyProtection="1">
      <alignment horizontal="center" vertical="center"/>
      <protection hidden="1"/>
    </xf>
    <xf numFmtId="0" fontId="3" fillId="4" borderId="0" xfId="0" applyNumberFormat="1" applyFont="1" applyFill="1" applyBorder="1" applyAlignment="1" applyProtection="1">
      <alignment horizontal="right" vertical="center"/>
      <protection hidden="1"/>
    </xf>
    <xf numFmtId="0" fontId="0" fillId="4" borderId="0" xfId="0" applyFill="1" applyBorder="1" applyProtection="1">
      <protection hidden="1"/>
    </xf>
    <xf numFmtId="0" fontId="0" fillId="4" borderId="0" xfId="0" applyFill="1" applyProtection="1">
      <protection hidden="1"/>
    </xf>
    <xf numFmtId="1" fontId="3" fillId="10" borderId="0" xfId="0" applyNumberFormat="1" applyFont="1" applyFill="1" applyBorder="1" applyAlignment="1" applyProtection="1">
      <alignment horizontal="right" vertical="center"/>
      <protection hidden="1"/>
    </xf>
    <xf numFmtId="0" fontId="3" fillId="4" borderId="0" xfId="0" applyNumberFormat="1" applyFont="1" applyFill="1" applyBorder="1" applyAlignment="1" applyProtection="1">
      <alignment horizontal="center" vertical="center"/>
      <protection hidden="1"/>
    </xf>
    <xf numFmtId="2" fontId="0" fillId="22" borderId="0" xfId="0" applyNumberFormat="1" applyFill="1" applyProtection="1">
      <protection hidden="1"/>
    </xf>
    <xf numFmtId="1" fontId="0" fillId="7" borderId="0" xfId="0" applyNumberFormat="1" applyFill="1" applyProtection="1">
      <protection hidden="1"/>
    </xf>
    <xf numFmtId="0" fontId="3" fillId="27" borderId="1" xfId="0" applyNumberFormat="1" applyFont="1" applyFill="1" applyBorder="1" applyAlignment="1" applyProtection="1">
      <alignment horizontal="center" vertical="center"/>
      <protection hidden="1"/>
    </xf>
    <xf numFmtId="0" fontId="0" fillId="15" borderId="0" xfId="0" applyFill="1" applyProtection="1">
      <protection hidden="1"/>
    </xf>
    <xf numFmtId="0" fontId="3" fillId="27" borderId="1" xfId="0" applyNumberFormat="1" applyFont="1" applyFill="1" applyBorder="1" applyAlignment="1" applyProtection="1">
      <alignment horizontal="right" vertical="center"/>
      <protection hidden="1"/>
    </xf>
    <xf numFmtId="0" fontId="0" fillId="27" borderId="0" xfId="0" applyFill="1" applyBorder="1" applyProtection="1">
      <protection hidden="1"/>
    </xf>
    <xf numFmtId="2" fontId="0" fillId="27" borderId="0" xfId="0" applyNumberFormat="1" applyFill="1" applyProtection="1">
      <protection hidden="1"/>
    </xf>
    <xf numFmtId="0" fontId="0" fillId="27" borderId="0" xfId="0" applyFill="1" applyAlignment="1" applyProtection="1">
      <alignment horizontal="center"/>
      <protection hidden="1"/>
    </xf>
    <xf numFmtId="0" fontId="3" fillId="22" borderId="1" xfId="0" applyNumberFormat="1" applyFont="1" applyFill="1" applyBorder="1" applyAlignment="1" applyProtection="1">
      <alignment horizontal="center" vertical="center"/>
      <protection hidden="1"/>
    </xf>
    <xf numFmtId="0" fontId="3" fillId="22" borderId="1" xfId="0" applyNumberFormat="1" applyFont="1" applyFill="1" applyBorder="1" applyAlignment="1" applyProtection="1">
      <alignment horizontal="right" vertical="center"/>
      <protection hidden="1"/>
    </xf>
    <xf numFmtId="0" fontId="0" fillId="22" borderId="0" xfId="0" applyFill="1" applyBorder="1" applyProtection="1">
      <protection hidden="1"/>
    </xf>
    <xf numFmtId="0" fontId="0" fillId="22" borderId="0" xfId="0" applyFill="1" applyProtection="1">
      <protection hidden="1"/>
    </xf>
    <xf numFmtId="0" fontId="3" fillId="28" borderId="1" xfId="0" applyNumberFormat="1" applyFont="1" applyFill="1" applyBorder="1" applyAlignment="1" applyProtection="1">
      <alignment horizontal="center" vertical="center"/>
      <protection hidden="1"/>
    </xf>
    <xf numFmtId="0" fontId="3" fillId="28" borderId="1" xfId="0" applyNumberFormat="1" applyFont="1" applyFill="1" applyBorder="1" applyAlignment="1" applyProtection="1">
      <alignment horizontal="right" vertical="center"/>
      <protection hidden="1"/>
    </xf>
    <xf numFmtId="0" fontId="0" fillId="28" borderId="0" xfId="0" applyFill="1" applyBorder="1" applyProtection="1">
      <protection hidden="1"/>
    </xf>
    <xf numFmtId="0" fontId="0" fillId="28" borderId="0" xfId="0" applyFill="1" applyProtection="1">
      <protection hidden="1"/>
    </xf>
    <xf numFmtId="1" fontId="3" fillId="0" borderId="0" xfId="0" applyNumberFormat="1" applyFont="1" applyFill="1" applyBorder="1" applyAlignment="1" applyProtection="1">
      <alignment horizontal="right" vertical="center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NumberFormat="1" applyFont="1" applyFill="1" applyBorder="1" applyAlignment="1" applyProtection="1">
      <alignment horizontal="left" vertical="center"/>
      <protection hidden="1"/>
    </xf>
    <xf numFmtId="0" fontId="3" fillId="0" borderId="0" xfId="0" applyNumberFormat="1" applyFont="1" applyFill="1" applyBorder="1" applyAlignment="1" applyProtection="1">
      <alignment horizontal="right" vertical="center"/>
      <protection hidden="1"/>
    </xf>
    <xf numFmtId="2" fontId="0" fillId="7" borderId="0" xfId="0" applyNumberFormat="1" applyFill="1" applyAlignment="1" applyProtection="1">
      <alignment horizontal="right"/>
      <protection hidden="1"/>
    </xf>
    <xf numFmtId="1" fontId="3" fillId="4" borderId="1" xfId="0" applyNumberFormat="1" applyFont="1" applyFill="1" applyBorder="1" applyAlignment="1" applyProtection="1">
      <alignment horizontal="right" vertical="center"/>
      <protection hidden="1"/>
    </xf>
    <xf numFmtId="0" fontId="3" fillId="4" borderId="1" xfId="0" applyNumberFormat="1" applyFont="1" applyFill="1" applyBorder="1" applyAlignment="1" applyProtection="1">
      <alignment horizontal="center" vertical="center"/>
      <protection hidden="1"/>
    </xf>
    <xf numFmtId="0" fontId="3" fillId="4" borderId="1" xfId="0" applyNumberFormat="1" applyFont="1" applyFill="1" applyBorder="1" applyAlignment="1" applyProtection="1">
      <alignment horizontal="right" vertical="center"/>
      <protection hidden="1"/>
    </xf>
    <xf numFmtId="2" fontId="0" fillId="4" borderId="0" xfId="0" applyNumberFormat="1" applyFill="1" applyProtection="1">
      <protection hidden="1"/>
    </xf>
    <xf numFmtId="0" fontId="0" fillId="4" borderId="0" xfId="0" applyFill="1" applyAlignment="1" applyProtection="1">
      <alignment horizontal="center"/>
      <protection hidden="1"/>
    </xf>
    <xf numFmtId="1" fontId="3" fillId="15" borderId="1" xfId="0" applyNumberFormat="1" applyFont="1" applyFill="1" applyBorder="1" applyAlignment="1" applyProtection="1">
      <alignment horizontal="right" vertical="center"/>
      <protection hidden="1"/>
    </xf>
    <xf numFmtId="0" fontId="3" fillId="15" borderId="1" xfId="0" applyNumberFormat="1" applyFont="1" applyFill="1" applyBorder="1" applyAlignment="1" applyProtection="1">
      <alignment horizontal="center" vertical="center"/>
      <protection hidden="1"/>
    </xf>
    <xf numFmtId="0" fontId="3" fillId="15" borderId="1" xfId="0" applyNumberFormat="1" applyFont="1" applyFill="1" applyBorder="1" applyAlignment="1" applyProtection="1">
      <alignment horizontal="right" vertical="center"/>
      <protection hidden="1"/>
    </xf>
    <xf numFmtId="0" fontId="0" fillId="25" borderId="0" xfId="0" applyFill="1" applyProtection="1">
      <protection hidden="1"/>
    </xf>
    <xf numFmtId="0" fontId="20" fillId="2" borderId="11" xfId="0" applyFont="1" applyFill="1" applyBorder="1" applyAlignment="1" applyProtection="1">
      <alignment horizontal="center" vertical="center" wrapText="1"/>
      <protection hidden="1"/>
    </xf>
    <xf numFmtId="0" fontId="42" fillId="14" borderId="0" xfId="0" applyFont="1" applyFill="1" applyAlignment="1" applyProtection="1">
      <alignment horizontal="center" vertical="center"/>
      <protection hidden="1"/>
    </xf>
    <xf numFmtId="0" fontId="42" fillId="14" borderId="0" xfId="0" applyFont="1" applyFill="1" applyAlignment="1" applyProtection="1">
      <alignment horizontal="center" vertical="center" wrapText="1"/>
      <protection hidden="1"/>
    </xf>
    <xf numFmtId="0" fontId="19" fillId="2" borderId="12" xfId="0" applyFont="1" applyFill="1" applyBorder="1" applyAlignment="1" applyProtection="1">
      <alignment vertical="center" wrapText="1"/>
      <protection hidden="1"/>
    </xf>
    <xf numFmtId="1" fontId="23" fillId="8" borderId="2" xfId="0" applyNumberFormat="1" applyFont="1" applyFill="1" applyBorder="1" applyAlignment="1" applyProtection="1">
      <alignment horizontal="right" vertical="center"/>
      <protection hidden="1"/>
    </xf>
    <xf numFmtId="0" fontId="0" fillId="16" borderId="0" xfId="0" applyFill="1" applyProtection="1">
      <protection hidden="1"/>
    </xf>
    <xf numFmtId="0" fontId="0" fillId="17" borderId="0" xfId="0" applyFill="1" applyProtection="1">
      <protection hidden="1"/>
    </xf>
    <xf numFmtId="0" fontId="0" fillId="11" borderId="0" xfId="0" applyFill="1" applyAlignment="1" applyProtection="1">
      <alignment horizontal="center" vertical="center"/>
      <protection hidden="1"/>
    </xf>
    <xf numFmtId="0" fontId="0" fillId="13" borderId="0" xfId="0" applyFill="1" applyAlignment="1" applyProtection="1">
      <alignment horizontal="right" vertical="center" indent="1"/>
      <protection hidden="1"/>
    </xf>
    <xf numFmtId="1" fontId="23" fillId="15" borderId="2" xfId="0" applyNumberFormat="1" applyFont="1" applyFill="1" applyBorder="1" applyAlignment="1" applyProtection="1">
      <alignment horizontal="right" vertical="center"/>
      <protection hidden="1"/>
    </xf>
    <xf numFmtId="0" fontId="19" fillId="2" borderId="12" xfId="0" applyFont="1" applyFill="1" applyBorder="1" applyAlignment="1" applyProtection="1">
      <alignment horizontal="center" vertical="center" wrapText="1"/>
      <protection hidden="1"/>
    </xf>
    <xf numFmtId="0" fontId="19" fillId="2" borderId="12" xfId="0" applyFont="1" applyFill="1" applyBorder="1" applyAlignment="1" applyProtection="1">
      <alignment horizontal="center" vertical="center"/>
      <protection hidden="1"/>
    </xf>
    <xf numFmtId="1" fontId="23" fillId="8" borderId="2" xfId="0" applyNumberFormat="1" applyFont="1" applyFill="1" applyBorder="1" applyAlignment="1" applyProtection="1">
      <alignment horizontal="right" vertical="center" indent="1"/>
      <protection hidden="1"/>
    </xf>
    <xf numFmtId="1" fontId="23" fillId="15" borderId="2" xfId="0" applyNumberFormat="1" applyFont="1" applyFill="1" applyBorder="1" applyAlignment="1" applyProtection="1">
      <alignment horizontal="right" vertical="center" indent="1"/>
      <protection hidden="1"/>
    </xf>
    <xf numFmtId="2" fontId="22" fillId="2" borderId="2" xfId="0" applyNumberFormat="1" applyFont="1" applyFill="1" applyBorder="1" applyAlignment="1" applyProtection="1">
      <alignment horizontal="right" vertical="center"/>
      <protection hidden="1"/>
    </xf>
    <xf numFmtId="0" fontId="18" fillId="2" borderId="2" xfId="0" applyFont="1" applyFill="1" applyBorder="1" applyAlignment="1" applyProtection="1">
      <alignment horizontal="center" vertical="center"/>
      <protection hidden="1"/>
    </xf>
    <xf numFmtId="2" fontId="0" fillId="0" borderId="0" xfId="0" applyNumberFormat="1" applyAlignment="1" applyProtection="1">
      <alignment horizontal="right"/>
      <protection hidden="1"/>
    </xf>
    <xf numFmtId="0" fontId="0" fillId="28" borderId="0" xfId="0" applyFill="1" applyAlignment="1" applyProtection="1">
      <alignment vertical="center"/>
      <protection hidden="1"/>
    </xf>
    <xf numFmtId="0" fontId="0" fillId="22" borderId="0" xfId="0" applyFill="1" applyAlignment="1" applyProtection="1">
      <alignment horizontal="right" indent="1"/>
      <protection hidden="1"/>
    </xf>
    <xf numFmtId="165" fontId="0" fillId="7" borderId="0" xfId="0" applyNumberFormat="1" applyFill="1" applyProtection="1">
      <protection hidden="1"/>
    </xf>
    <xf numFmtId="2" fontId="0" fillId="29" borderId="0" xfId="0" applyNumberFormat="1" applyFill="1" applyProtection="1">
      <protection hidden="1"/>
    </xf>
    <xf numFmtId="2" fontId="0" fillId="10" borderId="0" xfId="0" applyNumberFormat="1" applyFill="1" applyProtection="1">
      <protection hidden="1"/>
    </xf>
    <xf numFmtId="0" fontId="0" fillId="21" borderId="0" xfId="0" applyFill="1" applyAlignment="1" applyProtection="1">
      <alignment horizontal="right"/>
      <protection hidden="1"/>
    </xf>
    <xf numFmtId="2" fontId="0" fillId="21" borderId="0" xfId="0" applyNumberFormat="1" applyFill="1" applyProtection="1">
      <protection hidden="1"/>
    </xf>
    <xf numFmtId="0" fontId="0" fillId="12" borderId="0" xfId="0" applyFill="1" applyProtection="1">
      <protection hidden="1"/>
    </xf>
    <xf numFmtId="165" fontId="0" fillId="10" borderId="0" xfId="0" applyNumberFormat="1" applyFill="1" applyProtection="1">
      <protection hidden="1"/>
    </xf>
    <xf numFmtId="165" fontId="1" fillId="9" borderId="0" xfId="0" applyNumberFormat="1" applyFont="1" applyFill="1" applyProtection="1">
      <protection hidden="1"/>
    </xf>
    <xf numFmtId="0" fontId="0" fillId="19" borderId="0" xfId="0" applyFill="1" applyAlignment="1" applyProtection="1">
      <alignment horizontal="center" vertical="center"/>
      <protection hidden="1"/>
    </xf>
    <xf numFmtId="0" fontId="0" fillId="21" borderId="0" xfId="0" applyFill="1" applyProtection="1">
      <protection hidden="1"/>
    </xf>
    <xf numFmtId="0" fontId="0" fillId="2" borderId="0" xfId="0" applyFill="1" applyProtection="1">
      <protection hidden="1"/>
    </xf>
    <xf numFmtId="0" fontId="25" fillId="18" borderId="2" xfId="0" applyFont="1" applyFill="1" applyBorder="1" applyAlignment="1" applyProtection="1">
      <alignment horizontal="center" vertical="center"/>
      <protection hidden="1"/>
    </xf>
    <xf numFmtId="165" fontId="0" fillId="21" borderId="0" xfId="0" applyNumberFormat="1" applyFill="1" applyProtection="1">
      <protection hidden="1"/>
    </xf>
    <xf numFmtId="0" fontId="19" fillId="18" borderId="8" xfId="0" applyFont="1" applyFill="1" applyBorder="1" applyAlignment="1" applyProtection="1">
      <alignment horizontal="center" vertical="center" wrapText="1"/>
      <protection hidden="1"/>
    </xf>
    <xf numFmtId="0" fontId="19" fillId="18" borderId="10" xfId="0" applyFont="1" applyFill="1" applyBorder="1" applyAlignment="1" applyProtection="1">
      <alignment horizontal="center" vertical="center" wrapText="1"/>
      <protection hidden="1"/>
    </xf>
    <xf numFmtId="0" fontId="0" fillId="19" borderId="0" xfId="0" applyFill="1" applyProtection="1">
      <protection hidden="1"/>
    </xf>
    <xf numFmtId="0" fontId="18" fillId="18" borderId="6" xfId="0" applyFont="1" applyFill="1" applyBorder="1" applyAlignment="1" applyProtection="1">
      <alignment horizontal="center" vertical="center"/>
      <protection hidden="1"/>
    </xf>
    <xf numFmtId="0" fontId="25" fillId="6" borderId="6" xfId="0" applyFont="1" applyFill="1" applyBorder="1" applyAlignment="1" applyProtection="1">
      <alignment horizontal="center" vertical="center"/>
      <protection hidden="1"/>
    </xf>
    <xf numFmtId="0" fontId="24" fillId="6" borderId="2" xfId="0" applyFont="1" applyFill="1" applyBorder="1" applyAlignment="1" applyProtection="1">
      <alignment horizontal="center" vertical="center"/>
      <protection hidden="1"/>
    </xf>
    <xf numFmtId="0" fontId="25" fillId="18" borderId="6" xfId="0" applyFont="1" applyFill="1" applyBorder="1" applyAlignment="1" applyProtection="1">
      <alignment horizontal="center" vertical="center"/>
      <protection hidden="1"/>
    </xf>
    <xf numFmtId="2" fontId="26" fillId="0" borderId="2" xfId="0" applyNumberFormat="1" applyFont="1" applyFill="1" applyBorder="1" applyAlignment="1" applyProtection="1">
      <alignment horizontal="right" vertical="center"/>
      <protection hidden="1"/>
    </xf>
    <xf numFmtId="2" fontId="26" fillId="7" borderId="2" xfId="0" applyNumberFormat="1" applyFont="1" applyFill="1" applyBorder="1" applyAlignment="1" applyProtection="1">
      <alignment horizontal="right" vertical="center"/>
      <protection hidden="1"/>
    </xf>
    <xf numFmtId="0" fontId="0" fillId="10" borderId="0" xfId="0" applyFill="1" applyProtection="1">
      <protection hidden="1"/>
    </xf>
    <xf numFmtId="0" fontId="1" fillId="9" borderId="0" xfId="0" applyFont="1" applyFill="1" applyProtection="1">
      <protection hidden="1"/>
    </xf>
    <xf numFmtId="2" fontId="26" fillId="0" borderId="0" xfId="0" applyNumberFormat="1" applyFont="1" applyFill="1" applyBorder="1" applyAlignment="1" applyProtection="1">
      <alignment horizontal="right" vertical="center"/>
      <protection hidden="1"/>
    </xf>
    <xf numFmtId="2" fontId="22" fillId="26" borderId="2" xfId="0" applyNumberFormat="1" applyFont="1" applyFill="1" applyBorder="1" applyAlignment="1" applyProtection="1">
      <alignment horizontal="right" vertical="center"/>
      <protection hidden="1"/>
    </xf>
    <xf numFmtId="1" fontId="23" fillId="15" borderId="0" xfId="0" applyNumberFormat="1" applyFont="1" applyFill="1" applyBorder="1" applyAlignment="1" applyProtection="1">
      <alignment horizontal="right" vertical="center" indent="1"/>
      <protection hidden="1"/>
    </xf>
    <xf numFmtId="1" fontId="0" fillId="0" borderId="0" xfId="0" applyNumberFormat="1" applyProtection="1">
      <protection hidden="1"/>
    </xf>
    <xf numFmtId="0" fontId="28" fillId="13" borderId="0" xfId="0" applyNumberFormat="1" applyFont="1" applyFill="1" applyBorder="1" applyAlignment="1" applyProtection="1">
      <alignment horizontal="left" vertical="center"/>
      <protection hidden="1"/>
    </xf>
    <xf numFmtId="0" fontId="28" fillId="13" borderId="4" xfId="0" applyNumberFormat="1" applyFont="1" applyFill="1" applyBorder="1" applyAlignment="1" applyProtection="1">
      <alignment horizontal="center" vertical="center"/>
      <protection hidden="1"/>
    </xf>
    <xf numFmtId="1" fontId="3" fillId="22" borderId="1" xfId="0" applyNumberFormat="1" applyFont="1" applyFill="1" applyBorder="1" applyAlignment="1" applyProtection="1">
      <alignment horizontal="center" vertical="center"/>
      <protection hidden="1"/>
    </xf>
    <xf numFmtId="0" fontId="3" fillId="22" borderId="15" xfId="0" applyNumberFormat="1" applyFont="1" applyFill="1" applyBorder="1" applyAlignment="1" applyProtection="1">
      <alignment horizontal="left" vertical="center"/>
      <protection hidden="1"/>
    </xf>
    <xf numFmtId="169" fontId="3" fillId="22" borderId="1" xfId="0" applyNumberFormat="1" applyFont="1" applyFill="1" applyBorder="1" applyAlignment="1" applyProtection="1">
      <alignment horizontal="right" vertical="center"/>
      <protection hidden="1"/>
    </xf>
    <xf numFmtId="168" fontId="3" fillId="22" borderId="1" xfId="0" applyNumberFormat="1" applyFont="1" applyFill="1" applyBorder="1" applyAlignment="1" applyProtection="1">
      <alignment horizontal="right" vertical="center"/>
      <protection hidden="1"/>
    </xf>
    <xf numFmtId="0" fontId="3" fillId="32" borderId="15" xfId="0" applyNumberFormat="1" applyFont="1" applyFill="1" applyBorder="1" applyAlignment="1" applyProtection="1">
      <alignment horizontal="left" vertical="center"/>
      <protection hidden="1"/>
    </xf>
    <xf numFmtId="169" fontId="3" fillId="32" borderId="1" xfId="0" applyNumberFormat="1" applyFont="1" applyFill="1" applyBorder="1" applyAlignment="1" applyProtection="1">
      <alignment horizontal="right" vertical="center"/>
      <protection hidden="1"/>
    </xf>
    <xf numFmtId="168" fontId="3" fillId="32" borderId="1" xfId="0" applyNumberFormat="1" applyFont="1" applyFill="1" applyBorder="1" applyAlignment="1" applyProtection="1">
      <alignment horizontal="right" vertical="center"/>
      <protection hidden="1"/>
    </xf>
    <xf numFmtId="0" fontId="3" fillId="22" borderId="15" xfId="0" applyNumberFormat="1" applyFont="1" applyFill="1" applyBorder="1" applyAlignment="1" applyProtection="1">
      <alignment horizontal="center" vertical="center"/>
      <protection hidden="1"/>
    </xf>
    <xf numFmtId="0" fontId="3" fillId="22" borderId="1" xfId="0" applyNumberFormat="1" applyFont="1" applyFill="1" applyBorder="1" applyAlignment="1" applyProtection="1">
      <alignment horizontal="left" vertical="center"/>
      <protection hidden="1"/>
    </xf>
    <xf numFmtId="0" fontId="41" fillId="15" borderId="0" xfId="0" applyFont="1" applyFill="1" applyAlignment="1" applyProtection="1">
      <alignment horizontal="center"/>
      <protection hidden="1"/>
    </xf>
    <xf numFmtId="0" fontId="41" fillId="15" borderId="0" xfId="0" applyFont="1" applyFill="1" applyProtection="1">
      <protection hidden="1"/>
    </xf>
    <xf numFmtId="14" fontId="0" fillId="0" borderId="0" xfId="0" applyNumberFormat="1" applyProtection="1">
      <protection hidden="1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22" fontId="0" fillId="0" borderId="0" xfId="0" applyNumberFormat="1" applyProtection="1">
      <protection hidden="1"/>
    </xf>
    <xf numFmtId="9" fontId="0" fillId="0" borderId="0" xfId="3" applyFont="1" applyProtection="1">
      <protection hidden="1"/>
    </xf>
    <xf numFmtId="2" fontId="41" fillId="13" borderId="0" xfId="0" applyNumberFormat="1" applyFont="1" applyFill="1" applyBorder="1" applyAlignment="1" applyProtection="1">
      <alignment horizontal="right" vertical="center"/>
      <protection hidden="1"/>
    </xf>
    <xf numFmtId="2" fontId="0" fillId="15" borderId="0" xfId="0" applyNumberFormat="1" applyFill="1" applyProtection="1">
      <protection hidden="1"/>
    </xf>
    <xf numFmtId="2" fontId="0" fillId="20" borderId="27" xfId="0" applyNumberFormat="1" applyFill="1" applyBorder="1" applyProtection="1">
      <protection hidden="1"/>
    </xf>
    <xf numFmtId="2" fontId="0" fillId="20" borderId="28" xfId="0" applyNumberFormat="1" applyFill="1" applyBorder="1" applyProtection="1">
      <protection hidden="1"/>
    </xf>
    <xf numFmtId="2" fontId="0" fillId="20" borderId="29" xfId="0" applyNumberFormat="1" applyFill="1" applyBorder="1" applyProtection="1">
      <protection hidden="1"/>
    </xf>
    <xf numFmtId="2" fontId="0" fillId="20" borderId="30" xfId="0" applyNumberFormat="1" applyFill="1" applyBorder="1" applyProtection="1">
      <protection hidden="1"/>
    </xf>
    <xf numFmtId="2" fontId="48" fillId="13" borderId="0" xfId="0" applyNumberFormat="1" applyFont="1" applyFill="1" applyBorder="1" applyAlignment="1" applyProtection="1">
      <alignment horizontal="center" vertical="center"/>
      <protection hidden="1"/>
    </xf>
    <xf numFmtId="2" fontId="0" fillId="20" borderId="31" xfId="0" applyNumberFormat="1" applyFill="1" applyBorder="1" applyProtection="1">
      <protection hidden="1"/>
    </xf>
    <xf numFmtId="2" fontId="0" fillId="34" borderId="0" xfId="0" applyNumberFormat="1" applyFont="1" applyFill="1" applyBorder="1" applyAlignment="1" applyProtection="1">
      <alignment horizontal="center" vertical="center"/>
      <protection hidden="1"/>
    </xf>
    <xf numFmtId="2" fontId="0" fillId="22" borderId="0" xfId="0" applyNumberFormat="1" applyFill="1" applyBorder="1" applyAlignment="1" applyProtection="1">
      <alignment horizontal="center" vertical="center"/>
      <protection hidden="1"/>
    </xf>
    <xf numFmtId="2" fontId="48" fillId="13" borderId="0" xfId="0" applyNumberFormat="1" applyFont="1" applyFill="1" applyBorder="1" applyAlignment="1" applyProtection="1">
      <alignment horizontal="right" vertical="center" indent="1"/>
      <protection hidden="1"/>
    </xf>
    <xf numFmtId="2" fontId="49" fillId="13" borderId="0" xfId="0" applyNumberFormat="1" applyFont="1" applyFill="1" applyBorder="1" applyAlignment="1" applyProtection="1">
      <alignment horizontal="left" vertical="center" indent="1"/>
      <protection locked="0" hidden="1"/>
    </xf>
    <xf numFmtId="2" fontId="0" fillId="22" borderId="0" xfId="0" applyNumberFormat="1" applyFill="1" applyBorder="1" applyAlignment="1" applyProtection="1">
      <alignment horizontal="left" vertical="center" indent="1"/>
      <protection hidden="1"/>
    </xf>
    <xf numFmtId="2" fontId="0" fillId="20" borderId="32" xfId="0" applyNumberFormat="1" applyFill="1" applyBorder="1" applyProtection="1">
      <protection hidden="1"/>
    </xf>
    <xf numFmtId="2" fontId="0" fillId="20" borderId="33" xfId="0" applyNumberFormat="1" applyFill="1" applyBorder="1" applyProtection="1">
      <protection hidden="1"/>
    </xf>
    <xf numFmtId="2" fontId="0" fillId="20" borderId="34" xfId="0" applyNumberFormat="1" applyFill="1" applyBorder="1" applyProtection="1">
      <protection hidden="1"/>
    </xf>
    <xf numFmtId="2" fontId="0" fillId="22" borderId="0" xfId="0" applyNumberFormat="1" applyFill="1" applyBorder="1" applyAlignment="1" applyProtection="1">
      <alignment horizontal="center" vertical="center"/>
      <protection locked="0" hidden="1"/>
    </xf>
    <xf numFmtId="171" fontId="0" fillId="0" borderId="0" xfId="0" applyNumberFormat="1" applyProtection="1">
      <protection hidden="1"/>
    </xf>
    <xf numFmtId="1" fontId="23" fillId="0" borderId="2" xfId="0" applyNumberFormat="1" applyFont="1" applyFill="1" applyBorder="1" applyAlignment="1" applyProtection="1">
      <alignment horizontal="right" vertical="center" indent="1"/>
      <protection hidden="1"/>
    </xf>
    <xf numFmtId="2" fontId="0" fillId="13" borderId="0" xfId="0" applyNumberFormat="1" applyFill="1" applyProtection="1">
      <protection hidden="1"/>
    </xf>
    <xf numFmtId="2" fontId="0" fillId="15" borderId="0" xfId="0" applyNumberFormat="1" applyFill="1" applyAlignment="1" applyProtection="1">
      <alignment horizontal="center" vertical="center"/>
      <protection hidden="1"/>
    </xf>
    <xf numFmtId="0" fontId="0" fillId="15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1" fillId="19" borderId="0" xfId="0" applyFont="1" applyFill="1" applyAlignment="1" applyProtection="1">
      <alignment horizontal="center"/>
      <protection hidden="1"/>
    </xf>
    <xf numFmtId="0" fontId="41" fillId="19" borderId="0" xfId="0" applyFont="1" applyFill="1" applyProtection="1">
      <protection hidden="1"/>
    </xf>
    <xf numFmtId="0" fontId="0" fillId="22" borderId="0" xfId="0" applyFill="1" applyAlignment="1">
      <alignment horizontal="center" vertical="center"/>
    </xf>
    <xf numFmtId="0" fontId="0" fillId="32" borderId="0" xfId="0" applyFill="1" applyBorder="1" applyAlignment="1">
      <alignment horizontal="center" vertical="center"/>
    </xf>
    <xf numFmtId="0" fontId="0" fillId="32" borderId="9" xfId="0" applyFill="1" applyBorder="1" applyAlignment="1">
      <alignment horizontal="center" vertical="center"/>
    </xf>
    <xf numFmtId="0" fontId="0" fillId="0" borderId="0" xfId="0" applyAlignment="1">
      <alignment vertical="center"/>
    </xf>
    <xf numFmtId="169" fontId="0" fillId="20" borderId="0" xfId="0" applyNumberFormat="1" applyFill="1" applyBorder="1" applyAlignment="1">
      <alignment vertical="center"/>
    </xf>
    <xf numFmtId="169" fontId="0" fillId="20" borderId="9" xfId="0" applyNumberFormat="1" applyFill="1" applyBorder="1" applyAlignment="1">
      <alignment vertical="center"/>
    </xf>
    <xf numFmtId="169" fontId="0" fillId="20" borderId="22" xfId="0" applyNumberFormat="1" applyFill="1" applyBorder="1" applyAlignment="1">
      <alignment vertical="center"/>
    </xf>
    <xf numFmtId="2" fontId="0" fillId="13" borderId="29" xfId="0" applyNumberFormat="1" applyFill="1" applyBorder="1" applyProtection="1">
      <protection hidden="1"/>
    </xf>
    <xf numFmtId="2" fontId="0" fillId="13" borderId="31" xfId="0" applyNumberFormat="1" applyFill="1" applyBorder="1" applyProtection="1">
      <protection hidden="1"/>
    </xf>
    <xf numFmtId="2" fontId="0" fillId="13" borderId="34" xfId="0" applyNumberFormat="1" applyFill="1" applyBorder="1" applyProtection="1">
      <protection hidden="1"/>
    </xf>
    <xf numFmtId="2" fontId="0" fillId="13" borderId="27" xfId="0" applyNumberFormat="1" applyFill="1" applyBorder="1" applyProtection="1">
      <protection hidden="1"/>
    </xf>
    <xf numFmtId="2" fontId="0" fillId="13" borderId="28" xfId="0" applyNumberFormat="1" applyFill="1" applyBorder="1" applyProtection="1">
      <protection hidden="1"/>
    </xf>
    <xf numFmtId="2" fontId="0" fillId="13" borderId="30" xfId="0" applyNumberFormat="1" applyFill="1" applyBorder="1" applyProtection="1">
      <protection hidden="1"/>
    </xf>
    <xf numFmtId="2" fontId="0" fillId="13" borderId="32" xfId="0" applyNumberFormat="1" applyFill="1" applyBorder="1" applyProtection="1">
      <protection hidden="1"/>
    </xf>
    <xf numFmtId="2" fontId="0" fillId="13" borderId="33" xfId="0" applyNumberFormat="1" applyFill="1" applyBorder="1" applyProtection="1">
      <protection hidden="1"/>
    </xf>
    <xf numFmtId="2" fontId="48" fillId="34" borderId="0" xfId="0" applyNumberFormat="1" applyFont="1" applyFill="1" applyBorder="1" applyAlignment="1" applyProtection="1">
      <alignment horizontal="center" vertical="center"/>
      <protection hidden="1"/>
    </xf>
    <xf numFmtId="14" fontId="0" fillId="34" borderId="0" xfId="0" applyNumberFormat="1" applyFont="1" applyFill="1" applyBorder="1" applyAlignment="1" applyProtection="1">
      <alignment vertical="center"/>
      <protection hidden="1"/>
    </xf>
    <xf numFmtId="2" fontId="41" fillId="34" borderId="0" xfId="0" applyNumberFormat="1" applyFont="1" applyFill="1" applyBorder="1" applyAlignment="1" applyProtection="1">
      <alignment horizontal="right" vertical="center"/>
      <protection hidden="1"/>
    </xf>
    <xf numFmtId="2" fontId="0" fillId="13" borderId="30" xfId="0" applyNumberFormat="1" applyFill="1" applyBorder="1" applyAlignment="1" applyProtection="1">
      <alignment horizontal="left"/>
      <protection hidden="1"/>
    </xf>
    <xf numFmtId="0" fontId="0" fillId="19" borderId="0" xfId="0" applyFill="1" applyAlignment="1">
      <alignment horizontal="center" vertical="center"/>
    </xf>
    <xf numFmtId="0" fontId="41" fillId="19" borderId="0" xfId="0" applyFont="1" applyFill="1" applyAlignment="1" applyProtection="1">
      <alignment horizontal="left"/>
      <protection hidden="1"/>
    </xf>
    <xf numFmtId="0" fontId="41" fillId="15" borderId="0" xfId="0" applyFont="1" applyFill="1" applyAlignment="1" applyProtection="1">
      <alignment horizontal="left"/>
      <protection hidden="1"/>
    </xf>
    <xf numFmtId="0" fontId="5" fillId="19" borderId="0" xfId="0" applyFont="1" applyFill="1" applyBorder="1" applyAlignment="1" applyProtection="1">
      <alignment horizontal="center" vertical="center"/>
      <protection hidden="1"/>
    </xf>
    <xf numFmtId="0" fontId="51" fillId="19" borderId="0" xfId="0" applyFont="1" applyFill="1" applyBorder="1" applyAlignment="1" applyProtection="1">
      <alignment horizontal="center" vertical="center"/>
      <protection hidden="1"/>
    </xf>
    <xf numFmtId="0" fontId="0" fillId="4" borderId="9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4" borderId="22" xfId="0" applyFill="1" applyBorder="1" applyAlignment="1">
      <alignment vertical="center"/>
    </xf>
    <xf numFmtId="0" fontId="0" fillId="26" borderId="36" xfId="0" applyFill="1" applyBorder="1" applyAlignment="1">
      <alignment horizontal="center" vertical="center"/>
    </xf>
    <xf numFmtId="0" fontId="0" fillId="26" borderId="22" xfId="0" applyFill="1" applyBorder="1" applyAlignment="1">
      <alignment horizontal="left" vertical="center"/>
    </xf>
    <xf numFmtId="0" fontId="0" fillId="26" borderId="9" xfId="0" applyFill="1" applyBorder="1" applyAlignment="1">
      <alignment horizontal="left" vertical="center"/>
    </xf>
    <xf numFmtId="0" fontId="0" fillId="19" borderId="0" xfId="0" applyFill="1" applyAlignment="1">
      <alignment vertical="center"/>
    </xf>
    <xf numFmtId="0" fontId="0" fillId="19" borderId="23" xfId="0" applyFill="1" applyBorder="1" applyAlignment="1">
      <alignment horizontal="center" vertical="center"/>
    </xf>
    <xf numFmtId="0" fontId="0" fillId="19" borderId="5" xfId="0" applyFill="1" applyBorder="1" applyAlignment="1">
      <alignment horizontal="center" vertical="center"/>
    </xf>
    <xf numFmtId="0" fontId="0" fillId="19" borderId="22" xfId="0" applyFill="1" applyBorder="1" applyAlignment="1">
      <alignment horizontal="center" vertical="center"/>
    </xf>
    <xf numFmtId="0" fontId="0" fillId="19" borderId="6" xfId="0" applyFill="1" applyBorder="1" applyAlignment="1">
      <alignment vertical="center"/>
    </xf>
    <xf numFmtId="0" fontId="0" fillId="19" borderId="38" xfId="0" applyFill="1" applyBorder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5" fillId="4" borderId="22" xfId="0" applyFont="1" applyFill="1" applyBorder="1" applyAlignment="1">
      <alignment vertical="center"/>
    </xf>
    <xf numFmtId="2" fontId="52" fillId="35" borderId="0" xfId="0" applyNumberFormat="1" applyFont="1" applyFill="1" applyBorder="1" applyAlignment="1" applyProtection="1">
      <alignment horizontal="center" vertical="center"/>
      <protection hidden="1"/>
    </xf>
    <xf numFmtId="2" fontId="50" fillId="34" borderId="0" xfId="0" applyNumberFormat="1" applyFont="1" applyFill="1" applyBorder="1" applyAlignment="1" applyProtection="1">
      <alignment horizontal="right" vertical="center" indent="1"/>
      <protection hidden="1"/>
    </xf>
    <xf numFmtId="0" fontId="0" fillId="32" borderId="0" xfId="0" applyFill="1"/>
    <xf numFmtId="14" fontId="0" fillId="13" borderId="0" xfId="0" applyNumberFormat="1" applyFont="1" applyFill="1" applyBorder="1" applyAlignment="1" applyProtection="1">
      <alignment horizontal="right" vertical="center" indent="1"/>
      <protection hidden="1"/>
    </xf>
    <xf numFmtId="0" fontId="0" fillId="24" borderId="35" xfId="0" applyFill="1" applyBorder="1"/>
    <xf numFmtId="0" fontId="0" fillId="24" borderId="22" xfId="0" applyFill="1" applyBorder="1"/>
    <xf numFmtId="0" fontId="0" fillId="24" borderId="8" xfId="0" applyFill="1" applyBorder="1"/>
    <xf numFmtId="0" fontId="0" fillId="24" borderId="36" xfId="0" applyFill="1" applyBorder="1"/>
    <xf numFmtId="0" fontId="0" fillId="24" borderId="37" xfId="0" applyFill="1" applyBorder="1"/>
    <xf numFmtId="0" fontId="0" fillId="24" borderId="38" xfId="0" applyFill="1" applyBorder="1"/>
    <xf numFmtId="0" fontId="0" fillId="24" borderId="9" xfId="0" applyFill="1" applyBorder="1"/>
    <xf numFmtId="0" fontId="0" fillId="24" borderId="10" xfId="0" applyFill="1" applyBorder="1"/>
    <xf numFmtId="0" fontId="0" fillId="34" borderId="35" xfId="0" applyFill="1" applyBorder="1"/>
    <xf numFmtId="0" fontId="0" fillId="34" borderId="22" xfId="0" applyFill="1" applyBorder="1"/>
    <xf numFmtId="0" fontId="0" fillId="34" borderId="8" xfId="0" applyFill="1" applyBorder="1"/>
    <xf numFmtId="0" fontId="0" fillId="34" borderId="36" xfId="0" applyFill="1" applyBorder="1" applyAlignment="1">
      <alignment horizontal="right" indent="1"/>
    </xf>
    <xf numFmtId="0" fontId="0" fillId="34" borderId="37" xfId="0" applyFill="1" applyBorder="1"/>
    <xf numFmtId="0" fontId="0" fillId="34" borderId="38" xfId="0" applyFill="1" applyBorder="1"/>
    <xf numFmtId="0" fontId="0" fillId="34" borderId="9" xfId="0" applyFill="1" applyBorder="1"/>
    <xf numFmtId="0" fontId="0" fillId="34" borderId="10" xfId="0" applyFill="1" applyBorder="1"/>
    <xf numFmtId="9" fontId="0" fillId="34" borderId="0" xfId="3" applyFont="1" applyFill="1" applyBorder="1" applyAlignment="1">
      <alignment horizontal="right" indent="1"/>
    </xf>
    <xf numFmtId="0" fontId="0" fillId="34" borderId="36" xfId="0" applyFill="1" applyBorder="1" applyAlignment="1">
      <alignment horizontal="right" vertical="center" indent="1"/>
    </xf>
    <xf numFmtId="0" fontId="0" fillId="32" borderId="0" xfId="0" applyFill="1" applyBorder="1"/>
    <xf numFmtId="0" fontId="0" fillId="36" borderId="0" xfId="0" applyFill="1"/>
    <xf numFmtId="1" fontId="3" fillId="22" borderId="1" xfId="0" applyNumberFormat="1" applyFont="1" applyFill="1" applyBorder="1" applyAlignment="1" applyProtection="1">
      <alignment horizontal="left" vertical="center"/>
      <protection hidden="1"/>
    </xf>
    <xf numFmtId="0" fontId="31" fillId="36" borderId="0" xfId="0" applyFont="1" applyFill="1"/>
    <xf numFmtId="0" fontId="54" fillId="36" borderId="0" xfId="0" applyFont="1" applyFill="1" applyAlignment="1">
      <alignment vertical="center"/>
    </xf>
    <xf numFmtId="0" fontId="0" fillId="36" borderId="0" xfId="0" applyFill="1" applyAlignment="1">
      <alignment vertical="center"/>
    </xf>
    <xf numFmtId="9" fontId="0" fillId="0" borderId="0" xfId="3" applyFont="1"/>
    <xf numFmtId="170" fontId="0" fillId="0" borderId="0" xfId="3" applyNumberFormat="1" applyFont="1" applyProtection="1">
      <protection hidden="1"/>
    </xf>
    <xf numFmtId="9" fontId="0" fillId="0" borderId="0" xfId="0" applyNumberFormat="1" applyAlignment="1">
      <alignment vertical="center"/>
    </xf>
    <xf numFmtId="0" fontId="54" fillId="36" borderId="0" xfId="0" applyFont="1" applyFill="1" applyAlignment="1">
      <alignment horizontal="left" vertical="center" indent="1"/>
    </xf>
    <xf numFmtId="9" fontId="0" fillId="19" borderId="0" xfId="3" applyFont="1" applyFill="1" applyProtection="1">
      <protection hidden="1"/>
    </xf>
    <xf numFmtId="0" fontId="53" fillId="36" borderId="0" xfId="0" applyFont="1" applyFill="1" applyAlignment="1">
      <alignment horizontal="right" vertical="center" indent="1"/>
    </xf>
    <xf numFmtId="0" fontId="55" fillId="36" borderId="0" xfId="0" applyFont="1" applyFill="1" applyAlignment="1">
      <alignment horizontal="left" vertical="center" indent="1"/>
    </xf>
    <xf numFmtId="0" fontId="55" fillId="36" borderId="0" xfId="0" applyFont="1" applyFill="1" applyAlignment="1">
      <alignment vertical="center"/>
    </xf>
    <xf numFmtId="0" fontId="55" fillId="36" borderId="46" xfId="0" applyFont="1" applyFill="1" applyBorder="1" applyAlignment="1">
      <alignment vertical="top"/>
    </xf>
    <xf numFmtId="0" fontId="0" fillId="36" borderId="46" xfId="0" applyFill="1" applyBorder="1" applyAlignment="1">
      <alignment vertical="top"/>
    </xf>
    <xf numFmtId="0" fontId="55" fillId="36" borderId="46" xfId="0" applyFont="1" applyFill="1" applyBorder="1" applyAlignment="1">
      <alignment horizontal="left" vertical="top"/>
    </xf>
    <xf numFmtId="0" fontId="56" fillId="36" borderId="0" xfId="0" applyFont="1" applyFill="1"/>
    <xf numFmtId="0" fontId="0" fillId="36" borderId="47" xfId="0" applyFill="1" applyBorder="1"/>
    <xf numFmtId="0" fontId="58" fillId="36" borderId="48" xfId="0" applyFont="1" applyFill="1" applyBorder="1" applyAlignment="1">
      <alignment horizontal="right" vertical="center"/>
    </xf>
    <xf numFmtId="0" fontId="59" fillId="36" borderId="48" xfId="0" applyFont="1" applyFill="1" applyBorder="1" applyAlignment="1">
      <alignment horizontal="left" vertical="center"/>
    </xf>
    <xf numFmtId="0" fontId="0" fillId="20" borderId="0" xfId="0" applyFill="1"/>
    <xf numFmtId="0" fontId="60" fillId="20" borderId="0" xfId="4" applyFill="1"/>
    <xf numFmtId="0" fontId="0" fillId="19" borderId="0" xfId="0" applyFill="1"/>
    <xf numFmtId="0" fontId="0" fillId="19" borderId="0" xfId="0" applyFill="1" applyAlignment="1">
      <alignment horizontal="center"/>
    </xf>
    <xf numFmtId="0" fontId="47" fillId="8" borderId="0" xfId="0" applyFont="1" applyFill="1" applyBorder="1" applyAlignment="1" applyProtection="1">
      <alignment horizontal="left" vertical="center" indent="1"/>
      <protection hidden="1"/>
    </xf>
    <xf numFmtId="0" fontId="36" fillId="8" borderId="0" xfId="0" applyFont="1" applyFill="1" applyBorder="1" applyAlignment="1" applyProtection="1">
      <alignment horizontal="right" vertical="center" wrapText="1" indent="1"/>
      <protection hidden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0" fontId="0" fillId="32" borderId="0" xfId="0" applyFill="1" applyAlignment="1">
      <alignment horizontal="center"/>
    </xf>
    <xf numFmtId="0" fontId="0" fillId="32" borderId="0" xfId="0" applyFill="1" applyAlignment="1">
      <alignment horizontal="right"/>
    </xf>
    <xf numFmtId="0" fontId="0" fillId="32" borderId="22" xfId="0" applyFill="1" applyBorder="1" applyAlignment="1">
      <alignment horizontal="center" vertical="center"/>
    </xf>
    <xf numFmtId="0" fontId="41" fillId="38" borderId="0" xfId="0" applyFont="1" applyFill="1" applyProtection="1">
      <protection hidden="1"/>
    </xf>
    <xf numFmtId="165" fontId="62" fillId="8" borderId="0" xfId="0" quotePrefix="1" applyNumberFormat="1" applyFont="1" applyFill="1" applyBorder="1" applyAlignment="1" applyProtection="1">
      <alignment horizontal="right" vertical="center"/>
      <protection hidden="1"/>
    </xf>
    <xf numFmtId="9" fontId="50" fillId="32" borderId="42" xfId="3" applyFont="1" applyFill="1" applyBorder="1" applyAlignment="1" applyProtection="1">
      <alignment horizontal="right" vertical="center" indent="1"/>
      <protection locked="0"/>
    </xf>
    <xf numFmtId="9" fontId="50" fillId="32" borderId="49" xfId="3" applyFont="1" applyFill="1" applyBorder="1" applyAlignment="1" applyProtection="1">
      <alignment horizontal="left" vertical="center" indent="2"/>
      <protection locked="0"/>
    </xf>
    <xf numFmtId="9" fontId="50" fillId="32" borderId="43" xfId="3" applyFont="1" applyFill="1" applyBorder="1" applyAlignment="1" applyProtection="1">
      <alignment horizontal="right" vertical="center" indent="1"/>
      <protection locked="0"/>
    </xf>
    <xf numFmtId="9" fontId="50" fillId="32" borderId="44" xfId="3" applyFont="1" applyFill="1" applyBorder="1" applyAlignment="1" applyProtection="1">
      <alignment horizontal="right" vertical="center" indent="1"/>
      <protection locked="0"/>
    </xf>
    <xf numFmtId="9" fontId="50" fillId="32" borderId="45" xfId="3" applyFont="1" applyFill="1" applyBorder="1" applyAlignment="1" applyProtection="1">
      <alignment horizontal="right" vertical="center" indent="1"/>
      <protection locked="0"/>
    </xf>
    <xf numFmtId="9" fontId="50" fillId="32" borderId="0" xfId="3" applyFont="1" applyFill="1" applyBorder="1" applyAlignment="1" applyProtection="1">
      <alignment horizontal="right" vertical="center" indent="1"/>
      <protection locked="0"/>
    </xf>
    <xf numFmtId="9" fontId="0" fillId="32" borderId="0" xfId="3" applyFont="1" applyFill="1" applyBorder="1" applyAlignment="1" applyProtection="1">
      <alignment horizontal="right" vertical="center" indent="1"/>
      <protection locked="0"/>
    </xf>
    <xf numFmtId="164" fontId="0" fillId="0" borderId="0" xfId="0" applyNumberFormat="1" applyProtection="1">
      <protection hidden="1"/>
    </xf>
    <xf numFmtId="0" fontId="0" fillId="34" borderId="0" xfId="0" applyFill="1" applyProtection="1">
      <protection hidden="1"/>
    </xf>
    <xf numFmtId="0" fontId="57" fillId="37" borderId="48" xfId="0" applyFont="1" applyFill="1" applyBorder="1" applyAlignment="1" applyProtection="1">
      <alignment horizontal="center" vertical="center"/>
      <protection locked="0"/>
    </xf>
    <xf numFmtId="0" fontId="57" fillId="37" borderId="0" xfId="0" applyFont="1" applyFill="1" applyAlignment="1" applyProtection="1">
      <alignment horizontal="right" vertical="center" indent="1"/>
      <protection locked="0"/>
    </xf>
    <xf numFmtId="164" fontId="0" fillId="20" borderId="0" xfId="0" applyNumberFormat="1" applyFill="1" applyProtection="1">
      <protection hidden="1"/>
    </xf>
    <xf numFmtId="0" fontId="63" fillId="3" borderId="1" xfId="0" applyNumberFormat="1" applyFont="1" applyFill="1" applyBorder="1" applyAlignment="1" applyProtection="1">
      <alignment horizontal="center" vertical="center"/>
      <protection hidden="1"/>
    </xf>
    <xf numFmtId="0" fontId="64" fillId="16" borderId="4" xfId="0" applyNumberFormat="1" applyFont="1" applyFill="1" applyBorder="1" applyAlignment="1" applyProtection="1">
      <alignment horizontal="center" vertical="center"/>
      <protection hidden="1"/>
    </xf>
    <xf numFmtId="168" fontId="38" fillId="16" borderId="16" xfId="0" applyNumberFormat="1" applyFont="1" applyFill="1" applyBorder="1" applyAlignment="1" applyProtection="1">
      <alignment horizontal="right" vertical="center"/>
      <protection locked="0" hidden="1"/>
    </xf>
    <xf numFmtId="168" fontId="38" fillId="16" borderId="13" xfId="0" applyNumberFormat="1" applyFont="1" applyFill="1" applyBorder="1" applyAlignment="1" applyProtection="1">
      <alignment horizontal="right" vertical="center"/>
      <protection locked="0" hidden="1"/>
    </xf>
    <xf numFmtId="168" fontId="12" fillId="3" borderId="13" xfId="0" applyNumberFormat="1" applyFont="1" applyFill="1" applyBorder="1" applyAlignment="1" applyProtection="1">
      <alignment horizontal="right" vertical="center"/>
      <protection locked="0" hidden="1"/>
    </xf>
    <xf numFmtId="168" fontId="12" fillId="16" borderId="13" xfId="0" applyNumberFormat="1" applyFont="1" applyFill="1" applyBorder="1" applyAlignment="1" applyProtection="1">
      <alignment horizontal="right" vertical="center"/>
      <protection locked="0" hidden="1"/>
    </xf>
    <xf numFmtId="168" fontId="38" fillId="16" borderId="1" xfId="0" applyNumberFormat="1" applyFont="1" applyFill="1" applyBorder="1" applyAlignment="1" applyProtection="1">
      <alignment horizontal="right" vertical="center"/>
      <protection locked="0" hidden="1"/>
    </xf>
    <xf numFmtId="168" fontId="12" fillId="3" borderId="1" xfId="0" applyNumberFormat="1" applyFont="1" applyFill="1" applyBorder="1" applyAlignment="1" applyProtection="1">
      <alignment horizontal="right" vertical="center"/>
      <protection locked="0" hidden="1"/>
    </xf>
    <xf numFmtId="168" fontId="12" fillId="16" borderId="1" xfId="0" applyNumberFormat="1" applyFont="1" applyFill="1" applyBorder="1" applyAlignment="1" applyProtection="1">
      <alignment horizontal="right" vertical="center"/>
      <protection locked="0" hidden="1"/>
    </xf>
    <xf numFmtId="0" fontId="0" fillId="8" borderId="0" xfId="0" applyFill="1" applyAlignment="1" applyProtection="1">
      <alignment horizontal="center" vertical="center"/>
      <protection hidden="1"/>
    </xf>
    <xf numFmtId="0" fontId="12" fillId="16" borderId="1" xfId="0" applyNumberFormat="1" applyFont="1" applyFill="1" applyBorder="1" applyAlignment="1" applyProtection="1">
      <alignment horizontal="left" vertical="center"/>
      <protection hidden="1"/>
    </xf>
    <xf numFmtId="0" fontId="12" fillId="3" borderId="13" xfId="0" applyNumberFormat="1" applyFont="1" applyFill="1" applyBorder="1" applyAlignment="1" applyProtection="1">
      <alignment horizontal="left" vertical="center"/>
      <protection hidden="1"/>
    </xf>
    <xf numFmtId="0" fontId="12" fillId="3" borderId="15" xfId="0" applyNumberFormat="1" applyFont="1" applyFill="1" applyBorder="1" applyAlignment="1" applyProtection="1">
      <alignment horizontal="left" vertical="center"/>
      <protection hidden="1"/>
    </xf>
    <xf numFmtId="0" fontId="12" fillId="3" borderId="14" xfId="0" applyNumberFormat="1" applyFont="1" applyFill="1" applyBorder="1" applyAlignment="1" applyProtection="1">
      <alignment horizontal="left" vertical="center"/>
      <protection hidden="1"/>
    </xf>
    <xf numFmtId="0" fontId="38" fillId="16" borderId="16" xfId="0" applyNumberFormat="1" applyFont="1" applyFill="1" applyBorder="1" applyAlignment="1" applyProtection="1">
      <alignment horizontal="left" vertical="center"/>
      <protection hidden="1"/>
    </xf>
    <xf numFmtId="0" fontId="38" fillId="16" borderId="17" xfId="0" applyNumberFormat="1" applyFont="1" applyFill="1" applyBorder="1" applyAlignment="1" applyProtection="1">
      <alignment horizontal="left" vertical="center"/>
      <protection hidden="1"/>
    </xf>
    <xf numFmtId="0" fontId="38" fillId="16" borderId="18" xfId="0" applyNumberFormat="1" applyFont="1" applyFill="1" applyBorder="1" applyAlignment="1" applyProtection="1">
      <alignment horizontal="left" vertical="center"/>
      <protection hidden="1"/>
    </xf>
    <xf numFmtId="0" fontId="36" fillId="8" borderId="0" xfId="0" applyFont="1" applyFill="1" applyBorder="1" applyAlignment="1" applyProtection="1">
      <alignment horizontal="right" vertical="center" wrapText="1" indent="1"/>
      <protection hidden="1"/>
    </xf>
    <xf numFmtId="0" fontId="10" fillId="8" borderId="0" xfId="0" applyFont="1" applyFill="1" applyBorder="1" applyAlignment="1" applyProtection="1">
      <alignment horizontal="right" vertical="center" wrapText="1" indent="1"/>
      <protection hidden="1"/>
    </xf>
    <xf numFmtId="0" fontId="47" fillId="8" borderId="0" xfId="0" applyFont="1" applyFill="1" applyBorder="1" applyAlignment="1" applyProtection="1">
      <alignment horizontal="left" vertical="center" indent="1"/>
      <protection hidden="1"/>
    </xf>
    <xf numFmtId="0" fontId="61" fillId="15" borderId="39" xfId="0" applyFont="1" applyFill="1" applyBorder="1" applyAlignment="1" applyProtection="1">
      <alignment horizontal="center" vertical="center"/>
      <protection locked="0" hidden="1"/>
    </xf>
    <xf numFmtId="0" fontId="61" fillId="15" borderId="40" xfId="0" applyFont="1" applyFill="1" applyBorder="1" applyAlignment="1" applyProtection="1">
      <alignment horizontal="center" vertical="center"/>
      <protection locked="0" hidden="1"/>
    </xf>
    <xf numFmtId="0" fontId="61" fillId="15" borderId="41" xfId="0" applyFont="1" applyFill="1" applyBorder="1" applyAlignment="1" applyProtection="1">
      <alignment horizontal="center" vertical="center"/>
      <protection locked="0" hidden="1"/>
    </xf>
    <xf numFmtId="0" fontId="35" fillId="15" borderId="0" xfId="0" applyFont="1" applyFill="1" applyBorder="1" applyAlignment="1" applyProtection="1">
      <alignment horizontal="center" vertical="center"/>
      <protection locked="0" hidden="1"/>
    </xf>
    <xf numFmtId="0" fontId="12" fillId="16" borderId="13" xfId="0" applyNumberFormat="1" applyFont="1" applyFill="1" applyBorder="1" applyAlignment="1" applyProtection="1">
      <alignment horizontal="left" vertical="center"/>
      <protection hidden="1"/>
    </xf>
    <xf numFmtId="0" fontId="12" fillId="16" borderId="15" xfId="0" applyNumberFormat="1" applyFont="1" applyFill="1" applyBorder="1" applyAlignment="1" applyProtection="1">
      <alignment horizontal="left" vertical="center"/>
      <protection hidden="1"/>
    </xf>
    <xf numFmtId="0" fontId="12" fillId="16" borderId="14" xfId="0" applyNumberFormat="1" applyFont="1" applyFill="1" applyBorder="1" applyAlignment="1" applyProtection="1">
      <alignment horizontal="left" vertical="center"/>
      <protection hidden="1"/>
    </xf>
    <xf numFmtId="0" fontId="38" fillId="16" borderId="24" xfId="0" applyNumberFormat="1" applyFont="1" applyFill="1" applyBorder="1" applyAlignment="1" applyProtection="1">
      <alignment horizontal="left" vertical="center"/>
      <protection hidden="1"/>
    </xf>
    <xf numFmtId="0" fontId="38" fillId="16" borderId="25" xfId="0" applyNumberFormat="1" applyFont="1" applyFill="1" applyBorder="1" applyAlignment="1" applyProtection="1">
      <alignment horizontal="left" vertical="center"/>
      <protection hidden="1"/>
    </xf>
    <xf numFmtId="0" fontId="38" fillId="16" borderId="26" xfId="0" applyNumberFormat="1" applyFont="1" applyFill="1" applyBorder="1" applyAlignment="1" applyProtection="1">
      <alignment horizontal="left" vertical="center"/>
      <protection hidden="1"/>
    </xf>
    <xf numFmtId="0" fontId="36" fillId="8" borderId="50" xfId="0" applyFont="1" applyFill="1" applyBorder="1" applyAlignment="1" applyProtection="1">
      <alignment horizontal="right" vertical="center" wrapText="1" indent="1"/>
      <protection hidden="1"/>
    </xf>
    <xf numFmtId="9" fontId="0" fillId="32" borderId="0" xfId="3" applyFont="1" applyFill="1" applyBorder="1" applyAlignment="1" applyProtection="1">
      <alignment horizontal="center" vertical="center"/>
      <protection locked="0"/>
    </xf>
    <xf numFmtId="0" fontId="44" fillId="32" borderId="39" xfId="0" applyFont="1" applyFill="1" applyBorder="1" applyAlignment="1">
      <alignment horizontal="center" vertical="center" wrapText="1"/>
    </xf>
    <xf numFmtId="0" fontId="44" fillId="32" borderId="40" xfId="0" applyFont="1" applyFill="1" applyBorder="1" applyAlignment="1">
      <alignment horizontal="center" vertical="center" wrapText="1"/>
    </xf>
    <xf numFmtId="0" fontId="44" fillId="32" borderId="41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center" vertical="center"/>
      <protection hidden="1"/>
    </xf>
    <xf numFmtId="0" fontId="16" fillId="2" borderId="2" xfId="0" applyFont="1" applyFill="1" applyBorder="1" applyAlignment="1" applyProtection="1">
      <alignment horizontal="center" vertical="center"/>
      <protection hidden="1"/>
    </xf>
    <xf numFmtId="0" fontId="16" fillId="2" borderId="2" xfId="0" applyFont="1" applyFill="1" applyBorder="1" applyAlignment="1" applyProtection="1">
      <protection hidden="1"/>
    </xf>
    <xf numFmtId="0" fontId="17" fillId="2" borderId="2" xfId="0" applyFont="1" applyFill="1" applyBorder="1" applyAlignment="1" applyProtection="1">
      <alignment horizontal="center" vertical="center"/>
      <protection hidden="1"/>
    </xf>
    <xf numFmtId="0" fontId="15" fillId="18" borderId="6" xfId="0" applyFont="1" applyFill="1" applyBorder="1" applyAlignment="1" applyProtection="1">
      <alignment horizontal="center" vertical="center"/>
      <protection hidden="1"/>
    </xf>
    <xf numFmtId="0" fontId="16" fillId="18" borderId="2" xfId="0" applyFont="1" applyFill="1" applyBorder="1" applyAlignment="1" applyProtection="1">
      <alignment horizontal="center" vertical="center"/>
      <protection hidden="1"/>
    </xf>
    <xf numFmtId="0" fontId="16" fillId="18" borderId="2" xfId="0" applyFont="1" applyFill="1" applyBorder="1" applyAlignment="1" applyProtection="1">
      <protection hidden="1"/>
    </xf>
    <xf numFmtId="0" fontId="6" fillId="18" borderId="8" xfId="0" applyFont="1" applyFill="1" applyBorder="1" applyAlignment="1" applyProtection="1">
      <alignment horizontal="center" vertical="center" wrapText="1"/>
      <protection hidden="1"/>
    </xf>
    <xf numFmtId="0" fontId="6" fillId="18" borderId="10" xfId="0" applyFont="1" applyFill="1" applyBorder="1" applyAlignment="1" applyProtection="1">
      <alignment horizontal="center" vertical="center" wrapText="1"/>
      <protection hidden="1"/>
    </xf>
    <xf numFmtId="0" fontId="17" fillId="18" borderId="2" xfId="0" applyFont="1" applyFill="1" applyBorder="1" applyAlignment="1" applyProtection="1">
      <alignment horizontal="center" vertical="center"/>
      <protection hidden="1"/>
    </xf>
    <xf numFmtId="0" fontId="21" fillId="2" borderId="2" xfId="0" applyFont="1" applyFill="1" applyBorder="1" applyAlignment="1" applyProtection="1">
      <alignment horizontal="center" vertical="center"/>
      <protection hidden="1"/>
    </xf>
    <xf numFmtId="0" fontId="19" fillId="2" borderId="11" xfId="0" applyFont="1" applyFill="1" applyBorder="1" applyAlignment="1" applyProtection="1">
      <alignment horizontal="center" vertical="center" wrapText="1"/>
      <protection hidden="1"/>
    </xf>
    <xf numFmtId="0" fontId="19" fillId="2" borderId="12" xfId="0" applyFont="1" applyFill="1" applyBorder="1" applyAlignment="1" applyProtection="1">
      <alignment horizontal="center" vertical="center" wrapText="1"/>
      <protection hidden="1"/>
    </xf>
    <xf numFmtId="0" fontId="19" fillId="2" borderId="11" xfId="0" applyFont="1" applyFill="1" applyBorder="1" applyAlignment="1" applyProtection="1">
      <alignment horizontal="center" vertical="center"/>
      <protection hidden="1"/>
    </xf>
    <xf numFmtId="0" fontId="19" fillId="2" borderId="12" xfId="0" applyFont="1" applyFill="1" applyBorder="1" applyAlignment="1" applyProtection="1">
      <alignment horizontal="center" vertical="center"/>
      <protection hidden="1"/>
    </xf>
  </cellXfs>
  <cellStyles count="5">
    <cellStyle name="Excel Built-in Normal" xfId="1"/>
    <cellStyle name="Гиперссылка" xfId="4" builtinId="8"/>
    <cellStyle name="Обычный" xfId="0" builtinId="0"/>
    <cellStyle name="Обычный 3" xfId="2"/>
    <cellStyle name="Процентный" xfId="3" builtinId="5"/>
  </cellStyles>
  <dxfs count="34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 val="0"/>
        <i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hyperlink" Target="#&#1052;&#1077;&#1093;!A1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.png"/><Relationship Id="rId1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20108</xdr:colOff>
      <xdr:row>15</xdr:row>
      <xdr:rowOff>28574</xdr:rowOff>
    </xdr:from>
    <xdr:ext cx="2095500" cy="2541059"/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6525" y="2229907"/>
          <a:ext cx="2095500" cy="2541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10438</xdr:colOff>
      <xdr:row>63</xdr:row>
      <xdr:rowOff>28574</xdr:rowOff>
    </xdr:from>
    <xdr:ext cx="2091559" cy="1929343"/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771" y="18792824"/>
          <a:ext cx="2091559" cy="1929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19915</xdr:colOff>
      <xdr:row>39</xdr:row>
      <xdr:rowOff>29439</xdr:rowOff>
    </xdr:from>
    <xdr:ext cx="2095500" cy="1928476"/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3248" y="14528606"/>
          <a:ext cx="2095500" cy="1928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</xdr:row>
      <xdr:rowOff>66675</xdr:rowOff>
    </xdr:from>
    <xdr:ext cx="1457325" cy="260350"/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7675" y="161925"/>
          <a:ext cx="145732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29</xdr:row>
      <xdr:rowOff>66675</xdr:rowOff>
    </xdr:from>
    <xdr:ext cx="1457325" cy="257175"/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1450" y="8839200"/>
          <a:ext cx="145732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51</xdr:row>
      <xdr:rowOff>66675</xdr:rowOff>
    </xdr:from>
    <xdr:ext cx="1457325" cy="257175"/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1450" y="12630150"/>
          <a:ext cx="145732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18</xdr:col>
      <xdr:colOff>38101</xdr:colOff>
      <xdr:row>7</xdr:row>
      <xdr:rowOff>57150</xdr:rowOff>
    </xdr:from>
    <xdr:to>
      <xdr:col>20</xdr:col>
      <xdr:colOff>361951</xdr:colOff>
      <xdr:row>10</xdr:row>
      <xdr:rowOff>76200</xdr:rowOff>
    </xdr:to>
    <xdr:sp macro="" textlink="">
      <xdr:nvSpPr>
        <xdr:cNvPr id="18" name="Скругленный прямоугольник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400-000012000000}"/>
            </a:ext>
          </a:extLst>
        </xdr:cNvPr>
        <xdr:cNvSpPr/>
      </xdr:nvSpPr>
      <xdr:spPr>
        <a:xfrm>
          <a:off x="14249401" y="742950"/>
          <a:ext cx="1543050" cy="371475"/>
        </a:xfrm>
        <a:prstGeom prst="roundRect">
          <a:avLst/>
        </a:prstGeom>
        <a:solidFill>
          <a:schemeClr val="accent1">
            <a:lumMod val="50000"/>
          </a:schemeClr>
        </a:solidFill>
        <a:ln>
          <a:solidFill>
            <a:schemeClr val="bg1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 b="1">
              <a:solidFill>
                <a:schemeClr val="bg1">
                  <a:lumMod val="85000"/>
                </a:schemeClr>
              </a:solidFill>
            </a:rPr>
            <a:t>Схема</a:t>
          </a:r>
          <a:r>
            <a:rPr lang="ru-RU" sz="1400" b="1" baseline="0">
              <a:solidFill>
                <a:schemeClr val="bg1">
                  <a:lumMod val="85000"/>
                </a:schemeClr>
              </a:solidFill>
            </a:rPr>
            <a:t> присадки</a:t>
          </a:r>
          <a:endParaRPr lang="ru-RU" sz="1400" b="1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13</xdr:col>
      <xdr:colOff>285751</xdr:colOff>
      <xdr:row>2</xdr:row>
      <xdr:rowOff>0</xdr:rowOff>
    </xdr:from>
    <xdr:to>
      <xdr:col>13</xdr:col>
      <xdr:colOff>698501</xdr:colOff>
      <xdr:row>12</xdr:row>
      <xdr:rowOff>190500</xdr:rowOff>
    </xdr:to>
    <xdr:sp macro="" textlink="">
      <xdr:nvSpPr>
        <xdr:cNvPr id="3" name="Стрелка вниз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/>
      </xdr:nvSpPr>
      <xdr:spPr>
        <a:xfrm>
          <a:off x="10890251" y="169333"/>
          <a:ext cx="412750" cy="1640417"/>
        </a:xfrm>
        <a:prstGeom prst="downArrow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100"/>
        </a:p>
      </xdr:txBody>
    </xdr:sp>
    <xdr:clientData/>
  </xdr:twoCellAnchor>
  <xdr:twoCellAnchor>
    <xdr:from>
      <xdr:col>13</xdr:col>
      <xdr:colOff>268821</xdr:colOff>
      <xdr:row>30</xdr:row>
      <xdr:rowOff>10583</xdr:rowOff>
    </xdr:from>
    <xdr:to>
      <xdr:col>13</xdr:col>
      <xdr:colOff>681571</xdr:colOff>
      <xdr:row>37</xdr:row>
      <xdr:rowOff>4233</xdr:rowOff>
    </xdr:to>
    <xdr:sp macro="" textlink="">
      <xdr:nvSpPr>
        <xdr:cNvPr id="11" name="Стрелка вниз 10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/>
      </xdr:nvSpPr>
      <xdr:spPr>
        <a:xfrm>
          <a:off x="10873321" y="5408083"/>
          <a:ext cx="412750" cy="1115483"/>
        </a:xfrm>
        <a:prstGeom prst="downArrow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336553</xdr:colOff>
      <xdr:row>52</xdr:row>
      <xdr:rowOff>4234</xdr:rowOff>
    </xdr:from>
    <xdr:to>
      <xdr:col>13</xdr:col>
      <xdr:colOff>749303</xdr:colOff>
      <xdr:row>60</xdr:row>
      <xdr:rowOff>148167</xdr:rowOff>
    </xdr:to>
    <xdr:sp macro="" textlink="">
      <xdr:nvSpPr>
        <xdr:cNvPr id="12" name="Стрелка вниз 11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/>
      </xdr:nvSpPr>
      <xdr:spPr>
        <a:xfrm>
          <a:off x="10941053" y="9423401"/>
          <a:ext cx="412750" cy="1308099"/>
        </a:xfrm>
        <a:prstGeom prst="downArrow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8466</xdr:colOff>
      <xdr:row>17</xdr:row>
      <xdr:rowOff>18183</xdr:rowOff>
    </xdr:from>
    <xdr:ext cx="2095500" cy="2130234"/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57716" y="2664016"/>
          <a:ext cx="2095500" cy="2130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8464</xdr:colOff>
      <xdr:row>43</xdr:row>
      <xdr:rowOff>40220</xdr:rowOff>
    </xdr:from>
    <xdr:ext cx="2108203" cy="2161114"/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57714" y="7374470"/>
          <a:ext cx="2108203" cy="2161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</xdr:row>
      <xdr:rowOff>66675</xdr:rowOff>
    </xdr:from>
    <xdr:ext cx="1457325" cy="257175"/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0050" y="5305425"/>
          <a:ext cx="145732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30</xdr:row>
      <xdr:rowOff>66675</xdr:rowOff>
    </xdr:from>
    <xdr:ext cx="1457325" cy="257175"/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0050" y="9334500"/>
          <a:ext cx="145732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381014</xdr:colOff>
      <xdr:row>13</xdr:row>
      <xdr:rowOff>31756</xdr:rowOff>
    </xdr:from>
    <xdr:to>
      <xdr:col>6</xdr:col>
      <xdr:colOff>1651013</xdr:colOff>
      <xdr:row>15</xdr:row>
      <xdr:rowOff>31756</xdr:rowOff>
    </xdr:to>
    <xdr:sp macro="" textlink="">
      <xdr:nvSpPr>
        <xdr:cNvPr id="10" name="Стрелка вправо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/>
      </xdr:nvSpPr>
      <xdr:spPr>
        <a:xfrm>
          <a:off x="3090347" y="2137839"/>
          <a:ext cx="2857499" cy="423334"/>
        </a:xfrm>
        <a:prstGeom prst="right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>
              <a:effectLst>
                <a:glow rad="139700">
                  <a:schemeClr val="accent2">
                    <a:satMod val="175000"/>
                    <a:alpha val="40000"/>
                  </a:schemeClr>
                </a:glow>
              </a:effectLst>
            </a:rPr>
            <a:t>PUSH</a:t>
          </a:r>
          <a:r>
            <a:rPr lang="en-US" sz="1400" baseline="0">
              <a:effectLst>
                <a:glow rad="139700">
                  <a:schemeClr val="accent2">
                    <a:satMod val="175000"/>
                    <a:alpha val="40000"/>
                  </a:schemeClr>
                </a:glow>
              </a:effectLst>
            </a:rPr>
            <a:t> OPEN</a:t>
          </a:r>
          <a:endParaRPr lang="ru-RU" sz="1400">
            <a:effectLst>
              <a:glow rad="139700">
                <a:schemeClr val="accent2">
                  <a:satMod val="175000"/>
                  <a:alpha val="40000"/>
                </a:schemeClr>
              </a:glow>
            </a:effectLst>
          </a:endParaRPr>
        </a:p>
      </xdr:txBody>
    </xdr:sp>
    <xdr:clientData/>
  </xdr:twoCellAnchor>
  <xdr:twoCellAnchor>
    <xdr:from>
      <xdr:col>4</xdr:col>
      <xdr:colOff>459342</xdr:colOff>
      <xdr:row>40</xdr:row>
      <xdr:rowOff>14823</xdr:rowOff>
    </xdr:from>
    <xdr:to>
      <xdr:col>6</xdr:col>
      <xdr:colOff>1729341</xdr:colOff>
      <xdr:row>42</xdr:row>
      <xdr:rowOff>14823</xdr:rowOff>
    </xdr:to>
    <xdr:sp macro="" textlink="">
      <xdr:nvSpPr>
        <xdr:cNvPr id="11" name="Стрелка вправо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/>
      </xdr:nvSpPr>
      <xdr:spPr>
        <a:xfrm>
          <a:off x="3168675" y="7296156"/>
          <a:ext cx="2857499" cy="423334"/>
        </a:xfrm>
        <a:prstGeom prst="right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>
              <a:effectLst>
                <a:glow rad="139700">
                  <a:schemeClr val="accent2">
                    <a:satMod val="175000"/>
                    <a:alpha val="40000"/>
                  </a:schemeClr>
                </a:glow>
              </a:effectLst>
            </a:rPr>
            <a:t>PUSH</a:t>
          </a:r>
          <a:r>
            <a:rPr lang="en-US" sz="1400" baseline="0">
              <a:effectLst>
                <a:glow rad="139700">
                  <a:schemeClr val="accent2">
                    <a:satMod val="175000"/>
                    <a:alpha val="40000"/>
                  </a:schemeClr>
                </a:glow>
              </a:effectLst>
            </a:rPr>
            <a:t> OPEN</a:t>
          </a:r>
          <a:endParaRPr lang="ru-RU" sz="1400">
            <a:effectLst>
              <a:glow rad="139700">
                <a:schemeClr val="accent2">
                  <a:satMod val="175000"/>
                  <a:alpha val="40000"/>
                </a:schemeClr>
              </a:glow>
            </a:effectLst>
          </a:endParaRPr>
        </a:p>
      </xdr:txBody>
    </xdr:sp>
    <xdr:clientData/>
  </xdr:twoCellAnchor>
  <xdr:twoCellAnchor>
    <xdr:from>
      <xdr:col>6</xdr:col>
      <xdr:colOff>63500</xdr:colOff>
      <xdr:row>5</xdr:row>
      <xdr:rowOff>84669</xdr:rowOff>
    </xdr:from>
    <xdr:to>
      <xdr:col>7</xdr:col>
      <xdr:colOff>730250</xdr:colOff>
      <xdr:row>7</xdr:row>
      <xdr:rowOff>110064</xdr:rowOff>
    </xdr:to>
    <xdr:sp macro="" textlink="">
      <xdr:nvSpPr>
        <xdr:cNvPr id="12" name="Стрелка вправо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/>
      </xdr:nvSpPr>
      <xdr:spPr>
        <a:xfrm>
          <a:off x="4360333" y="793752"/>
          <a:ext cx="3111500" cy="448729"/>
        </a:xfrm>
        <a:prstGeom prst="right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400">
              <a:effectLst>
                <a:glow rad="139700">
                  <a:schemeClr val="accent2">
                    <a:satMod val="175000"/>
                    <a:alpha val="40000"/>
                  </a:schemeClr>
                </a:glow>
              </a:effectLst>
            </a:rPr>
            <a:t>Тип открытия/закрытия</a:t>
          </a:r>
        </a:p>
      </xdr:txBody>
    </xdr:sp>
    <xdr:clientData/>
  </xdr:twoCellAnchor>
  <xdr:twoCellAnchor>
    <xdr:from>
      <xdr:col>6</xdr:col>
      <xdr:colOff>99487</xdr:colOff>
      <xdr:row>34</xdr:row>
      <xdr:rowOff>78152</xdr:rowOff>
    </xdr:from>
    <xdr:to>
      <xdr:col>7</xdr:col>
      <xdr:colOff>766237</xdr:colOff>
      <xdr:row>36</xdr:row>
      <xdr:rowOff>103548</xdr:rowOff>
    </xdr:to>
    <xdr:sp macro="" textlink="">
      <xdr:nvSpPr>
        <xdr:cNvPr id="13" name="Стрелка вправо 12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/>
      </xdr:nvSpPr>
      <xdr:spPr>
        <a:xfrm>
          <a:off x="4396320" y="6237652"/>
          <a:ext cx="3111500" cy="448729"/>
        </a:xfrm>
        <a:prstGeom prst="right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400">
              <a:effectLst>
                <a:glow rad="139700">
                  <a:schemeClr val="accent2">
                    <a:satMod val="175000"/>
                    <a:alpha val="40000"/>
                  </a:schemeClr>
                </a:glow>
              </a:effectLst>
            </a:rPr>
            <a:t>Тип открытия/закрытия</a:t>
          </a:r>
        </a:p>
      </xdr:txBody>
    </xdr:sp>
    <xdr:clientData/>
  </xdr:twoCellAnchor>
  <xdr:twoCellAnchor editAs="oneCell">
    <xdr:from>
      <xdr:col>2</xdr:col>
      <xdr:colOff>42332</xdr:colOff>
      <xdr:row>11</xdr:row>
      <xdr:rowOff>31750</xdr:rowOff>
    </xdr:from>
    <xdr:to>
      <xdr:col>2</xdr:col>
      <xdr:colOff>1286463</xdr:colOff>
      <xdr:row>15</xdr:row>
      <xdr:rowOff>36312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1582" y="1862667"/>
          <a:ext cx="1244131" cy="703062"/>
        </a:xfrm>
        <a:prstGeom prst="rect">
          <a:avLst/>
        </a:prstGeom>
      </xdr:spPr>
    </xdr:pic>
    <xdr:clientData/>
  </xdr:twoCellAnchor>
  <xdr:twoCellAnchor editAs="oneCell">
    <xdr:from>
      <xdr:col>2</xdr:col>
      <xdr:colOff>42332</xdr:colOff>
      <xdr:row>39</xdr:row>
      <xdr:rowOff>21003</xdr:rowOff>
    </xdr:from>
    <xdr:to>
      <xdr:col>2</xdr:col>
      <xdr:colOff>1286463</xdr:colOff>
      <xdr:row>42</xdr:row>
      <xdr:rowOff>67898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1582" y="7069503"/>
          <a:ext cx="1244131" cy="703062"/>
        </a:xfrm>
        <a:prstGeom prst="rect">
          <a:avLst/>
        </a:prstGeom>
      </xdr:spPr>
    </xdr:pic>
    <xdr:clientData/>
  </xdr:twoCellAnchor>
  <xdr:twoCellAnchor>
    <xdr:from>
      <xdr:col>13</xdr:col>
      <xdr:colOff>254000</xdr:colOff>
      <xdr:row>2</xdr:row>
      <xdr:rowOff>10582</xdr:rowOff>
    </xdr:from>
    <xdr:to>
      <xdr:col>13</xdr:col>
      <xdr:colOff>666750</xdr:colOff>
      <xdr:row>14</xdr:row>
      <xdr:rowOff>211667</xdr:rowOff>
    </xdr:to>
    <xdr:sp macro="" textlink="">
      <xdr:nvSpPr>
        <xdr:cNvPr id="16" name="Стрелка вниз 15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/>
      </xdr:nvSpPr>
      <xdr:spPr>
        <a:xfrm>
          <a:off x="10858500" y="179915"/>
          <a:ext cx="412750" cy="2328335"/>
        </a:xfrm>
        <a:prstGeom prst="downArrow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100"/>
        </a:p>
      </xdr:txBody>
    </xdr:sp>
    <xdr:clientData/>
  </xdr:twoCellAnchor>
  <xdr:twoCellAnchor>
    <xdr:from>
      <xdr:col>13</xdr:col>
      <xdr:colOff>285741</xdr:colOff>
      <xdr:row>31</xdr:row>
      <xdr:rowOff>0</xdr:rowOff>
    </xdr:from>
    <xdr:to>
      <xdr:col>13</xdr:col>
      <xdr:colOff>698491</xdr:colOff>
      <xdr:row>41</xdr:row>
      <xdr:rowOff>190500</xdr:rowOff>
    </xdr:to>
    <xdr:sp macro="" textlink="">
      <xdr:nvSpPr>
        <xdr:cNvPr id="17" name="Стрелка вниз 16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/>
      </xdr:nvSpPr>
      <xdr:spPr>
        <a:xfrm>
          <a:off x="10890241" y="5619750"/>
          <a:ext cx="412750" cy="2042583"/>
        </a:xfrm>
        <a:prstGeom prst="downArrow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9527</xdr:colOff>
      <xdr:row>23</xdr:row>
      <xdr:rowOff>19049</xdr:rowOff>
    </xdr:from>
    <xdr:ext cx="2105024" cy="2181226"/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58777" y="2749549"/>
          <a:ext cx="2105024" cy="2181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1</xdr:row>
      <xdr:rowOff>66675</xdr:rowOff>
    </xdr:from>
    <xdr:ext cx="1457325" cy="257175"/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0050" y="21097875"/>
          <a:ext cx="145732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361950</xdr:colOff>
      <xdr:row>33</xdr:row>
      <xdr:rowOff>171450</xdr:rowOff>
    </xdr:from>
    <xdr:ext cx="1457325" cy="257175"/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04850" y="25955625"/>
          <a:ext cx="145732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13</xdr:col>
      <xdr:colOff>264575</xdr:colOff>
      <xdr:row>2</xdr:row>
      <xdr:rowOff>0</xdr:rowOff>
    </xdr:from>
    <xdr:to>
      <xdr:col>13</xdr:col>
      <xdr:colOff>677325</xdr:colOff>
      <xdr:row>16</xdr:row>
      <xdr:rowOff>211667</xdr:rowOff>
    </xdr:to>
    <xdr:sp macro="" textlink="">
      <xdr:nvSpPr>
        <xdr:cNvPr id="5" name="Стрелка вниз 4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SpPr/>
      </xdr:nvSpPr>
      <xdr:spPr>
        <a:xfrm>
          <a:off x="10869075" y="169333"/>
          <a:ext cx="412750" cy="2233084"/>
        </a:xfrm>
        <a:prstGeom prst="downArrow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100"/>
        </a:p>
      </xdr:txBody>
    </xdr:sp>
    <xdr:clientData/>
  </xdr:twoCellAnchor>
</xdr:wsDr>
</file>

<file path=xl/queryTables/queryTable1.xml><?xml version="1.0" encoding="utf-8"?>
<queryTable xmlns="http://schemas.openxmlformats.org/spreadsheetml/2006/main" name="23" refreshOnLoad="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5"/>
  <dimension ref="A1:M34"/>
  <sheetViews>
    <sheetView workbookViewId="0">
      <selection activeCell="C9" sqref="C9"/>
    </sheetView>
  </sheetViews>
  <sheetFormatPr defaultRowHeight="15"/>
  <sheetData>
    <row r="1" spans="1:13">
      <c r="D1" s="290">
        <v>1</v>
      </c>
      <c r="E1" s="290"/>
      <c r="F1" s="290">
        <v>2</v>
      </c>
      <c r="G1" s="290"/>
      <c r="H1" s="290">
        <v>3</v>
      </c>
      <c r="I1" s="290"/>
      <c r="J1" s="290" t="s">
        <v>512</v>
      </c>
      <c r="K1" s="290"/>
      <c r="L1" s="290" t="s">
        <v>513</v>
      </c>
    </row>
    <row r="2" spans="1:13">
      <c r="A2">
        <v>0</v>
      </c>
      <c r="B2" s="381">
        <v>200</v>
      </c>
      <c r="C2" s="290" t="s">
        <v>510</v>
      </c>
      <c r="D2">
        <v>1.7</v>
      </c>
      <c r="E2">
        <v>3.1</v>
      </c>
      <c r="F2">
        <v>3.1</v>
      </c>
      <c r="G2">
        <v>4.5999999999999996</v>
      </c>
    </row>
    <row r="3" spans="1:13">
      <c r="A3">
        <v>0</v>
      </c>
      <c r="B3" s="381">
        <v>200</v>
      </c>
      <c r="C3" s="290" t="s">
        <v>511</v>
      </c>
      <c r="F3">
        <v>3.6</v>
      </c>
      <c r="G3">
        <v>5.4</v>
      </c>
      <c r="H3">
        <v>5.4</v>
      </c>
      <c r="I3">
        <v>7.9</v>
      </c>
    </row>
    <row r="4" spans="1:13">
      <c r="A4">
        <v>0</v>
      </c>
      <c r="B4" s="381">
        <v>200</v>
      </c>
      <c r="C4" s="290" t="s">
        <v>514</v>
      </c>
      <c r="H4">
        <v>6.8</v>
      </c>
      <c r="I4">
        <v>8.3000000000000007</v>
      </c>
      <c r="J4">
        <v>8.3000000000000007</v>
      </c>
      <c r="K4">
        <v>12.3</v>
      </c>
      <c r="L4">
        <v>12.3</v>
      </c>
      <c r="M4">
        <v>14.7</v>
      </c>
    </row>
    <row r="5" spans="1:13">
      <c r="A5">
        <f>B2</f>
        <v>200</v>
      </c>
      <c r="B5" s="381">
        <v>225</v>
      </c>
      <c r="C5" s="290" t="s">
        <v>510</v>
      </c>
      <c r="D5">
        <v>1.5</v>
      </c>
      <c r="E5">
        <v>2.9</v>
      </c>
      <c r="F5">
        <v>2.9</v>
      </c>
      <c r="G5">
        <v>4.0999999999999996</v>
      </c>
    </row>
    <row r="6" spans="1:13">
      <c r="A6">
        <f t="shared" ref="A6:A34" si="0">B3</f>
        <v>200</v>
      </c>
      <c r="B6" s="381">
        <v>225</v>
      </c>
      <c r="C6" s="290" t="s">
        <v>511</v>
      </c>
      <c r="F6">
        <v>3.1</v>
      </c>
      <c r="G6">
        <v>4.7</v>
      </c>
      <c r="H6">
        <v>4.7</v>
      </c>
      <c r="I6">
        <v>7.1</v>
      </c>
    </row>
    <row r="7" spans="1:13">
      <c r="A7">
        <f t="shared" si="0"/>
        <v>200</v>
      </c>
      <c r="B7" s="381">
        <v>225</v>
      </c>
      <c r="C7" s="290" t="s">
        <v>514</v>
      </c>
      <c r="H7">
        <v>6</v>
      </c>
      <c r="I7">
        <v>7.1</v>
      </c>
      <c r="J7">
        <v>7.1</v>
      </c>
      <c r="K7">
        <v>11.6</v>
      </c>
      <c r="L7">
        <v>11.6</v>
      </c>
      <c r="M7">
        <v>13.1</v>
      </c>
    </row>
    <row r="8" spans="1:13">
      <c r="A8">
        <f t="shared" si="0"/>
        <v>225</v>
      </c>
      <c r="B8" s="381">
        <f>B5+25</f>
        <v>250</v>
      </c>
      <c r="C8" s="290" t="s">
        <v>510</v>
      </c>
      <c r="D8">
        <v>1.3</v>
      </c>
      <c r="E8">
        <v>3.1</v>
      </c>
      <c r="F8">
        <v>3.1</v>
      </c>
      <c r="G8">
        <v>3.8</v>
      </c>
    </row>
    <row r="9" spans="1:13">
      <c r="A9">
        <f t="shared" si="0"/>
        <v>225</v>
      </c>
      <c r="B9" s="381">
        <f t="shared" ref="B9:B10" si="1">B6+25</f>
        <v>250</v>
      </c>
      <c r="C9" s="290" t="s">
        <v>511</v>
      </c>
      <c r="F9">
        <v>2.9</v>
      </c>
      <c r="G9">
        <v>5.0999999999999996</v>
      </c>
      <c r="H9">
        <v>5.0999999999999996</v>
      </c>
      <c r="I9">
        <v>6.4</v>
      </c>
    </row>
    <row r="10" spans="1:13">
      <c r="A10">
        <f t="shared" si="0"/>
        <v>225</v>
      </c>
      <c r="B10" s="381">
        <f t="shared" si="1"/>
        <v>250</v>
      </c>
      <c r="C10" s="290" t="s">
        <v>514</v>
      </c>
      <c r="H10">
        <v>5.4</v>
      </c>
      <c r="I10">
        <v>6.9</v>
      </c>
      <c r="J10">
        <v>6.9</v>
      </c>
      <c r="K10">
        <v>10.5</v>
      </c>
      <c r="L10">
        <v>10.5</v>
      </c>
      <c r="M10">
        <v>11.8</v>
      </c>
    </row>
    <row r="11" spans="1:13" s="381" customFormat="1">
      <c r="A11">
        <f t="shared" si="0"/>
        <v>250</v>
      </c>
      <c r="B11" s="381">
        <f>B8+25</f>
        <v>275</v>
      </c>
      <c r="C11" s="382" t="s">
        <v>510</v>
      </c>
      <c r="D11" s="381">
        <v>1.2</v>
      </c>
      <c r="E11" s="381">
        <v>3</v>
      </c>
      <c r="F11" s="381">
        <v>3</v>
      </c>
      <c r="G11" s="381">
        <v>3.3</v>
      </c>
    </row>
    <row r="12" spans="1:13">
      <c r="A12">
        <f t="shared" si="0"/>
        <v>250</v>
      </c>
      <c r="B12" s="381">
        <f t="shared" ref="B12:B13" si="2">B9+25</f>
        <v>275</v>
      </c>
      <c r="C12" s="290" t="s">
        <v>511</v>
      </c>
      <c r="D12">
        <v>2.5</v>
      </c>
      <c r="E12">
        <v>3.3</v>
      </c>
      <c r="F12">
        <v>3.3</v>
      </c>
      <c r="G12">
        <v>5</v>
      </c>
      <c r="H12">
        <v>5</v>
      </c>
      <c r="I12">
        <v>5.7</v>
      </c>
    </row>
    <row r="13" spans="1:13">
      <c r="A13">
        <f t="shared" si="0"/>
        <v>250</v>
      </c>
      <c r="B13" s="381">
        <f t="shared" si="2"/>
        <v>275</v>
      </c>
      <c r="C13" s="290" t="s">
        <v>514</v>
      </c>
      <c r="H13">
        <v>4.8</v>
      </c>
      <c r="I13">
        <v>6.8</v>
      </c>
      <c r="J13">
        <v>6.8</v>
      </c>
      <c r="K13">
        <v>10</v>
      </c>
      <c r="L13">
        <v>10</v>
      </c>
      <c r="M13">
        <v>10.6</v>
      </c>
    </row>
    <row r="14" spans="1:13" s="381" customFormat="1">
      <c r="A14">
        <f t="shared" si="0"/>
        <v>275</v>
      </c>
      <c r="B14" s="381">
        <f>B11+25</f>
        <v>300</v>
      </c>
      <c r="C14" s="382" t="s">
        <v>510</v>
      </c>
      <c r="D14" s="381">
        <v>1.1000000000000001</v>
      </c>
      <c r="E14" s="381">
        <v>2.7</v>
      </c>
      <c r="F14" s="381">
        <v>2.7</v>
      </c>
      <c r="G14" s="381">
        <v>3.1</v>
      </c>
    </row>
    <row r="15" spans="1:13">
      <c r="A15">
        <f t="shared" si="0"/>
        <v>275</v>
      </c>
      <c r="B15" s="381">
        <f t="shared" ref="B15:B16" si="3">B12+25</f>
        <v>300</v>
      </c>
      <c r="C15" s="290" t="s">
        <v>511</v>
      </c>
      <c r="D15">
        <v>2.4</v>
      </c>
      <c r="E15">
        <v>3</v>
      </c>
      <c r="F15">
        <v>3</v>
      </c>
      <c r="G15">
        <v>4.5999999999999996</v>
      </c>
      <c r="H15">
        <v>4.5999999999999996</v>
      </c>
      <c r="I15">
        <v>5.0999999999999996</v>
      </c>
    </row>
    <row r="16" spans="1:13">
      <c r="A16">
        <f t="shared" si="0"/>
        <v>275</v>
      </c>
      <c r="B16" s="381">
        <f t="shared" si="3"/>
        <v>300</v>
      </c>
      <c r="C16" s="290" t="s">
        <v>514</v>
      </c>
      <c r="H16">
        <v>4.4000000000000004</v>
      </c>
      <c r="I16">
        <v>6.6</v>
      </c>
      <c r="J16">
        <v>6.6</v>
      </c>
      <c r="K16">
        <v>9.6</v>
      </c>
    </row>
    <row r="17" spans="1:11" s="381" customFormat="1">
      <c r="A17">
        <f t="shared" si="0"/>
        <v>300</v>
      </c>
      <c r="B17" s="381">
        <f>B14+25</f>
        <v>325</v>
      </c>
      <c r="C17" s="382" t="s">
        <v>510</v>
      </c>
      <c r="D17" s="381">
        <v>1</v>
      </c>
      <c r="E17" s="381">
        <v>2.6</v>
      </c>
      <c r="F17" s="381">
        <v>2.6</v>
      </c>
      <c r="G17" s="381">
        <v>2.8</v>
      </c>
    </row>
    <row r="18" spans="1:11">
      <c r="A18">
        <f t="shared" si="0"/>
        <v>300</v>
      </c>
      <c r="B18" s="381">
        <f t="shared" ref="B18:B19" si="4">B15+25</f>
        <v>325</v>
      </c>
      <c r="C18" s="290" t="s">
        <v>511</v>
      </c>
      <c r="D18">
        <v>2.1</v>
      </c>
      <c r="E18">
        <v>3</v>
      </c>
      <c r="F18">
        <v>3</v>
      </c>
      <c r="G18">
        <v>4.2</v>
      </c>
      <c r="H18">
        <v>4.2</v>
      </c>
      <c r="I18">
        <v>4.5999999999999996</v>
      </c>
    </row>
    <row r="19" spans="1:11">
      <c r="A19">
        <f t="shared" si="0"/>
        <v>300</v>
      </c>
      <c r="B19" s="381">
        <f t="shared" si="4"/>
        <v>325</v>
      </c>
      <c r="C19" s="290" t="s">
        <v>514</v>
      </c>
      <c r="H19">
        <v>4</v>
      </c>
      <c r="I19">
        <v>6</v>
      </c>
      <c r="J19">
        <v>6</v>
      </c>
      <c r="K19">
        <v>8.8000000000000007</v>
      </c>
    </row>
    <row r="20" spans="1:11" s="381" customFormat="1">
      <c r="A20">
        <f t="shared" si="0"/>
        <v>325</v>
      </c>
      <c r="B20" s="381">
        <f>B17+25</f>
        <v>350</v>
      </c>
      <c r="C20" s="382" t="s">
        <v>510</v>
      </c>
      <c r="D20" s="381">
        <v>0.9</v>
      </c>
      <c r="E20" s="381">
        <v>2.4</v>
      </c>
      <c r="F20" s="381">
        <v>2.4</v>
      </c>
      <c r="G20" s="381">
        <v>2.6</v>
      </c>
    </row>
    <row r="21" spans="1:11">
      <c r="A21">
        <f t="shared" si="0"/>
        <v>325</v>
      </c>
      <c r="B21" s="381">
        <f t="shared" ref="B21:B22" si="5">B18+25</f>
        <v>350</v>
      </c>
      <c r="C21" s="290" t="s">
        <v>511</v>
      </c>
      <c r="D21">
        <v>2</v>
      </c>
      <c r="E21">
        <v>2.9</v>
      </c>
      <c r="F21">
        <v>2.9</v>
      </c>
      <c r="G21">
        <v>4.2</v>
      </c>
    </row>
    <row r="22" spans="1:11">
      <c r="A22">
        <f t="shared" si="0"/>
        <v>325</v>
      </c>
      <c r="B22" s="381">
        <f t="shared" si="5"/>
        <v>350</v>
      </c>
      <c r="C22" s="290" t="s">
        <v>514</v>
      </c>
      <c r="F22">
        <v>3.7</v>
      </c>
      <c r="G22">
        <v>3.9</v>
      </c>
      <c r="H22">
        <v>3.9</v>
      </c>
      <c r="I22">
        <v>5.9</v>
      </c>
      <c r="J22">
        <v>5.9</v>
      </c>
      <c r="K22">
        <v>8.1</v>
      </c>
    </row>
    <row r="23" spans="1:11" s="381" customFormat="1">
      <c r="A23">
        <f t="shared" si="0"/>
        <v>350</v>
      </c>
      <c r="B23" s="381">
        <f>B20+25</f>
        <v>375</v>
      </c>
      <c r="C23" s="382" t="s">
        <v>510</v>
      </c>
      <c r="D23" s="381">
        <v>0.9</v>
      </c>
      <c r="E23" s="381">
        <v>2.2999999999999998</v>
      </c>
    </row>
    <row r="24" spans="1:11">
      <c r="A24">
        <f t="shared" si="0"/>
        <v>350</v>
      </c>
      <c r="B24" s="381">
        <f t="shared" ref="B24:B25" si="6">B21+25</f>
        <v>375</v>
      </c>
      <c r="C24" s="290" t="s">
        <v>511</v>
      </c>
      <c r="D24">
        <v>1.9</v>
      </c>
      <c r="E24">
        <v>2.7</v>
      </c>
      <c r="F24">
        <v>2.7</v>
      </c>
      <c r="G24">
        <v>3.8</v>
      </c>
    </row>
    <row r="25" spans="1:11">
      <c r="A25">
        <f t="shared" si="0"/>
        <v>350</v>
      </c>
      <c r="B25" s="381">
        <f t="shared" si="6"/>
        <v>375</v>
      </c>
      <c r="C25" s="290" t="s">
        <v>514</v>
      </c>
      <c r="F25">
        <v>3.5</v>
      </c>
      <c r="G25">
        <v>3.9</v>
      </c>
      <c r="H25">
        <v>3.9</v>
      </c>
      <c r="I25">
        <v>5.7</v>
      </c>
      <c r="J25">
        <v>5.7</v>
      </c>
      <c r="K25">
        <v>7.5</v>
      </c>
    </row>
    <row r="26" spans="1:11" s="381" customFormat="1">
      <c r="A26">
        <f t="shared" si="0"/>
        <v>375</v>
      </c>
      <c r="B26" s="381">
        <f>B23+25</f>
        <v>400</v>
      </c>
      <c r="C26" s="382" t="s">
        <v>510</v>
      </c>
      <c r="D26" s="381">
        <v>0.8</v>
      </c>
      <c r="E26" s="381">
        <v>2.1</v>
      </c>
    </row>
    <row r="27" spans="1:11">
      <c r="A27">
        <f t="shared" si="0"/>
        <v>375</v>
      </c>
      <c r="B27" s="381">
        <f t="shared" ref="B27:B28" si="7">B24+25</f>
        <v>400</v>
      </c>
      <c r="C27" s="290" t="s">
        <v>511</v>
      </c>
      <c r="D27">
        <v>1.7</v>
      </c>
      <c r="E27">
        <v>2.7</v>
      </c>
      <c r="F27">
        <v>2.7</v>
      </c>
      <c r="G27">
        <v>3.6</v>
      </c>
    </row>
    <row r="28" spans="1:11">
      <c r="A28">
        <f t="shared" si="0"/>
        <v>375</v>
      </c>
      <c r="B28" s="381">
        <f t="shared" si="7"/>
        <v>400</v>
      </c>
      <c r="C28" s="290" t="s">
        <v>514</v>
      </c>
      <c r="F28">
        <v>3.2</v>
      </c>
      <c r="G28">
        <v>3.8</v>
      </c>
      <c r="H28">
        <v>3.8</v>
      </c>
      <c r="I28">
        <v>5.6</v>
      </c>
      <c r="J28">
        <v>5.6</v>
      </c>
      <c r="K28">
        <v>7</v>
      </c>
    </row>
    <row r="29" spans="1:11" s="381" customFormat="1">
      <c r="A29">
        <f t="shared" si="0"/>
        <v>400</v>
      </c>
      <c r="B29" s="381">
        <f>B26+25</f>
        <v>425</v>
      </c>
      <c r="C29" s="382" t="s">
        <v>510</v>
      </c>
      <c r="D29" s="381">
        <v>0.7</v>
      </c>
      <c r="E29" s="381">
        <v>1.9</v>
      </c>
    </row>
    <row r="30" spans="1:11">
      <c r="A30">
        <f t="shared" si="0"/>
        <v>400</v>
      </c>
      <c r="B30" s="381">
        <f t="shared" ref="B30:B31" si="8">B27+25</f>
        <v>425</v>
      </c>
      <c r="C30" s="290" t="s">
        <v>511</v>
      </c>
      <c r="D30">
        <v>1.5</v>
      </c>
      <c r="E30">
        <v>2.2999999999999998</v>
      </c>
      <c r="F30">
        <v>2.2999999999999998</v>
      </c>
      <c r="G30">
        <v>4</v>
      </c>
    </row>
    <row r="31" spans="1:11">
      <c r="A31">
        <f t="shared" si="0"/>
        <v>400</v>
      </c>
      <c r="B31" s="381">
        <f t="shared" si="8"/>
        <v>425</v>
      </c>
      <c r="C31" s="290" t="s">
        <v>514</v>
      </c>
      <c r="F31">
        <v>2.9</v>
      </c>
      <c r="G31">
        <v>4</v>
      </c>
      <c r="H31">
        <v>4</v>
      </c>
      <c r="I31">
        <v>5</v>
      </c>
      <c r="J31">
        <v>5</v>
      </c>
      <c r="K31">
        <v>6.5</v>
      </c>
    </row>
    <row r="32" spans="1:11" s="381" customFormat="1">
      <c r="A32">
        <f t="shared" si="0"/>
        <v>425</v>
      </c>
      <c r="B32" s="381">
        <f>B29+25</f>
        <v>450</v>
      </c>
      <c r="C32" s="382" t="s">
        <v>510</v>
      </c>
      <c r="D32" s="381">
        <v>0.6</v>
      </c>
      <c r="E32" s="381">
        <v>1.7</v>
      </c>
    </row>
    <row r="33" spans="1:11">
      <c r="A33">
        <f t="shared" si="0"/>
        <v>425</v>
      </c>
      <c r="B33" s="381">
        <f t="shared" ref="B33:B34" si="9">B30+25</f>
        <v>450</v>
      </c>
      <c r="C33" s="290" t="s">
        <v>511</v>
      </c>
      <c r="D33">
        <v>1.4</v>
      </c>
      <c r="E33">
        <v>2.4</v>
      </c>
      <c r="F33">
        <v>2.4</v>
      </c>
      <c r="G33">
        <v>3.2</v>
      </c>
    </row>
    <row r="34" spans="1:11">
      <c r="A34">
        <f t="shared" si="0"/>
        <v>425</v>
      </c>
      <c r="B34" s="381">
        <f t="shared" si="9"/>
        <v>450</v>
      </c>
      <c r="C34" s="290" t="s">
        <v>514</v>
      </c>
      <c r="F34">
        <v>2.7</v>
      </c>
      <c r="G34">
        <v>3.3</v>
      </c>
      <c r="H34">
        <v>3.3</v>
      </c>
      <c r="I34">
        <v>5.0999999999999996</v>
      </c>
      <c r="J34">
        <v>5.0999999999999996</v>
      </c>
      <c r="K34">
        <v>6.1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6"/>
  <dimension ref="B4:B8"/>
  <sheetViews>
    <sheetView workbookViewId="0">
      <selection activeCell="B8" sqref="B8"/>
    </sheetView>
  </sheetViews>
  <sheetFormatPr defaultColWidth="9.140625" defaultRowHeight="15"/>
  <cols>
    <col min="1" max="1" width="9.140625" style="379"/>
    <col min="2" max="2" width="27.85546875" style="379" customWidth="1"/>
    <col min="3" max="16384" width="9.140625" style="379"/>
  </cols>
  <sheetData>
    <row r="4" spans="2:2">
      <c r="B4" s="379" t="s">
        <v>31</v>
      </c>
    </row>
    <row r="5" spans="2:2">
      <c r="B5" s="379" t="s">
        <v>33</v>
      </c>
    </row>
    <row r="6" spans="2:2">
      <c r="B6" s="379" t="s">
        <v>32</v>
      </c>
    </row>
    <row r="7" spans="2:2">
      <c r="B7" s="379" t="s">
        <v>30</v>
      </c>
    </row>
    <row r="8" spans="2:2">
      <c r="B8" s="380" t="s">
        <v>36</v>
      </c>
    </row>
  </sheetData>
  <sheetProtection password="CEE3" sheet="1" objects="1" scenarios="1"/>
  <hyperlinks>
    <hyperlink ref="B8" location="Подъемные_Механизмы!B94:B124" display="FREE UP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6"/>
  <dimension ref="B2:G68"/>
  <sheetViews>
    <sheetView topLeftCell="A45" workbookViewId="0">
      <selection activeCell="B3" sqref="B3:B68"/>
    </sheetView>
  </sheetViews>
  <sheetFormatPr defaultRowHeight="15"/>
  <sheetData>
    <row r="2" spans="2:7">
      <c r="F2" t="s">
        <v>537</v>
      </c>
      <c r="G2" t="s">
        <v>59</v>
      </c>
    </row>
    <row r="3" spans="2:7">
      <c r="B3">
        <v>350</v>
      </c>
      <c r="C3" s="290" t="s">
        <v>536</v>
      </c>
      <c r="D3">
        <v>5.2</v>
      </c>
      <c r="E3">
        <v>8.1</v>
      </c>
      <c r="F3">
        <v>2</v>
      </c>
      <c r="G3">
        <v>1</v>
      </c>
    </row>
    <row r="4" spans="2:7">
      <c r="B4">
        <v>350</v>
      </c>
      <c r="C4" s="290" t="s">
        <v>536</v>
      </c>
      <c r="D4">
        <f>E3</f>
        <v>8.1</v>
      </c>
      <c r="E4">
        <v>11</v>
      </c>
      <c r="F4">
        <v>3</v>
      </c>
      <c r="G4">
        <v>1</v>
      </c>
    </row>
    <row r="5" spans="2:7">
      <c r="B5">
        <v>350</v>
      </c>
      <c r="C5" s="290" t="s">
        <v>387</v>
      </c>
      <c r="D5">
        <v>6.7</v>
      </c>
      <c r="E5">
        <v>11.8</v>
      </c>
      <c r="F5">
        <v>3</v>
      </c>
      <c r="G5">
        <v>1</v>
      </c>
    </row>
    <row r="6" spans="2:7">
      <c r="B6">
        <v>350</v>
      </c>
      <c r="C6" s="290" t="s">
        <v>387</v>
      </c>
      <c r="D6">
        <f>E5</f>
        <v>11.8</v>
      </c>
      <c r="E6">
        <v>14.3</v>
      </c>
      <c r="F6">
        <v>2</v>
      </c>
      <c r="G6">
        <v>2</v>
      </c>
    </row>
    <row r="7" spans="2:7">
      <c r="B7">
        <v>350</v>
      </c>
      <c r="C7" s="290" t="s">
        <v>388</v>
      </c>
      <c r="D7">
        <v>10.1</v>
      </c>
      <c r="E7">
        <v>17.899999999999999</v>
      </c>
      <c r="F7">
        <v>2</v>
      </c>
      <c r="G7">
        <v>2</v>
      </c>
    </row>
    <row r="8" spans="2:7">
      <c r="B8">
        <v>350</v>
      </c>
      <c r="C8" s="290" t="s">
        <v>388</v>
      </c>
      <c r="D8">
        <f>E7</f>
        <v>17.899999999999999</v>
      </c>
      <c r="E8">
        <v>21.4</v>
      </c>
      <c r="F8">
        <v>3</v>
      </c>
      <c r="G8">
        <v>2</v>
      </c>
    </row>
    <row r="9" spans="2:7">
      <c r="B9">
        <v>350</v>
      </c>
      <c r="C9" s="290" t="s">
        <v>389</v>
      </c>
      <c r="D9">
        <v>13.5</v>
      </c>
      <c r="E9">
        <v>18.100000000000001</v>
      </c>
      <c r="F9">
        <v>2</v>
      </c>
      <c r="G9">
        <v>2</v>
      </c>
    </row>
    <row r="10" spans="2:7">
      <c r="B10">
        <v>350</v>
      </c>
      <c r="C10" s="290" t="s">
        <v>389</v>
      </c>
      <c r="D10">
        <f>E9</f>
        <v>18.100000000000001</v>
      </c>
      <c r="E10">
        <v>27.3</v>
      </c>
      <c r="F10">
        <v>3</v>
      </c>
      <c r="G10">
        <v>2</v>
      </c>
    </row>
    <row r="11" spans="2:7">
      <c r="B11">
        <v>400</v>
      </c>
      <c r="C11" s="290" t="s">
        <v>536</v>
      </c>
      <c r="D11">
        <v>4.7</v>
      </c>
      <c r="E11">
        <v>9</v>
      </c>
      <c r="F11">
        <v>2</v>
      </c>
      <c r="G11">
        <v>1</v>
      </c>
    </row>
    <row r="12" spans="2:7">
      <c r="B12">
        <v>400</v>
      </c>
      <c r="C12" s="290" t="s">
        <v>536</v>
      </c>
      <c r="D12">
        <v>9</v>
      </c>
      <c r="E12">
        <v>9.6</v>
      </c>
      <c r="F12">
        <v>3</v>
      </c>
      <c r="G12">
        <v>1</v>
      </c>
    </row>
    <row r="13" spans="2:7">
      <c r="B13">
        <v>400</v>
      </c>
      <c r="C13" s="290" t="s">
        <v>387</v>
      </c>
      <c r="D13">
        <v>5.9</v>
      </c>
      <c r="E13">
        <v>7.9</v>
      </c>
      <c r="F13">
        <v>2</v>
      </c>
      <c r="G13">
        <v>1</v>
      </c>
    </row>
    <row r="14" spans="2:7">
      <c r="B14">
        <v>400</v>
      </c>
      <c r="C14" s="290" t="s">
        <v>387</v>
      </c>
      <c r="D14">
        <v>7.9</v>
      </c>
      <c r="E14">
        <v>11.6</v>
      </c>
      <c r="F14">
        <v>3</v>
      </c>
      <c r="G14">
        <v>1</v>
      </c>
    </row>
    <row r="15" spans="2:7">
      <c r="B15">
        <v>400</v>
      </c>
      <c r="C15" s="290" t="s">
        <v>387</v>
      </c>
      <c r="D15">
        <f>E14</f>
        <v>11.6</v>
      </c>
      <c r="E15">
        <v>12.4</v>
      </c>
      <c r="F15">
        <v>2</v>
      </c>
      <c r="G15">
        <v>2</v>
      </c>
    </row>
    <row r="16" spans="2:7">
      <c r="B16">
        <v>400</v>
      </c>
      <c r="C16" s="290" t="s">
        <v>388</v>
      </c>
      <c r="D16">
        <v>8.9</v>
      </c>
      <c r="E16">
        <v>10.7</v>
      </c>
      <c r="F16">
        <v>3</v>
      </c>
      <c r="G16">
        <v>1</v>
      </c>
    </row>
    <row r="17" spans="2:7">
      <c r="B17">
        <v>400</v>
      </c>
      <c r="C17" s="290" t="s">
        <v>388</v>
      </c>
      <c r="D17">
        <f>E16</f>
        <v>10.7</v>
      </c>
      <c r="E17">
        <v>17.2</v>
      </c>
      <c r="F17">
        <v>2</v>
      </c>
      <c r="G17">
        <v>2</v>
      </c>
    </row>
    <row r="18" spans="2:7">
      <c r="B18">
        <v>400</v>
      </c>
      <c r="C18" s="290" t="s">
        <v>388</v>
      </c>
      <c r="D18">
        <f>E17</f>
        <v>17.2</v>
      </c>
      <c r="E18">
        <v>18.600000000000001</v>
      </c>
      <c r="F18">
        <v>3</v>
      </c>
      <c r="G18">
        <v>2</v>
      </c>
    </row>
    <row r="19" spans="2:7">
      <c r="B19">
        <v>400</v>
      </c>
      <c r="C19" s="290" t="s">
        <v>389</v>
      </c>
      <c r="D19">
        <v>11.8</v>
      </c>
      <c r="E19">
        <v>12.3</v>
      </c>
      <c r="F19">
        <v>3</v>
      </c>
      <c r="G19">
        <v>1</v>
      </c>
    </row>
    <row r="20" spans="2:7">
      <c r="B20">
        <v>400</v>
      </c>
      <c r="C20" s="290" t="s">
        <v>389</v>
      </c>
      <c r="D20">
        <f>E19</f>
        <v>12.3</v>
      </c>
      <c r="E20">
        <v>17.899999999999999</v>
      </c>
      <c r="F20">
        <v>2</v>
      </c>
      <c r="G20">
        <v>2</v>
      </c>
    </row>
    <row r="21" spans="2:7">
      <c r="B21">
        <v>400</v>
      </c>
      <c r="C21" s="290" t="s">
        <v>389</v>
      </c>
      <c r="D21">
        <f>E20</f>
        <v>17.899999999999999</v>
      </c>
      <c r="E21">
        <v>23.3</v>
      </c>
      <c r="F21">
        <v>3</v>
      </c>
      <c r="G21">
        <v>2</v>
      </c>
    </row>
    <row r="22" spans="2:7">
      <c r="B22">
        <v>450</v>
      </c>
      <c r="C22" s="290" t="s">
        <v>536</v>
      </c>
      <c r="D22">
        <v>4.0999999999999996</v>
      </c>
      <c r="E22">
        <v>5</v>
      </c>
      <c r="F22">
        <v>1</v>
      </c>
      <c r="G22">
        <v>1</v>
      </c>
    </row>
    <row r="23" spans="2:7">
      <c r="B23">
        <v>450</v>
      </c>
      <c r="C23" s="290" t="s">
        <v>536</v>
      </c>
      <c r="D23">
        <f>E22</f>
        <v>5</v>
      </c>
      <c r="E23">
        <v>8.4</v>
      </c>
      <c r="F23">
        <v>2</v>
      </c>
      <c r="G23">
        <v>1</v>
      </c>
    </row>
    <row r="24" spans="2:7">
      <c r="B24">
        <v>450</v>
      </c>
      <c r="C24" s="290" t="s">
        <v>387</v>
      </c>
      <c r="D24">
        <v>5.2</v>
      </c>
      <c r="E24">
        <v>7.9</v>
      </c>
      <c r="F24">
        <v>2</v>
      </c>
      <c r="G24">
        <v>1</v>
      </c>
    </row>
    <row r="25" spans="2:7">
      <c r="B25">
        <v>450</v>
      </c>
      <c r="C25" s="290" t="s">
        <v>387</v>
      </c>
      <c r="D25">
        <v>7.9</v>
      </c>
      <c r="E25">
        <v>10.9</v>
      </c>
      <c r="F25">
        <v>3</v>
      </c>
      <c r="G25">
        <v>1</v>
      </c>
    </row>
    <row r="26" spans="2:7">
      <c r="B26">
        <v>450</v>
      </c>
      <c r="C26" s="290" t="s">
        <v>388</v>
      </c>
      <c r="D26">
        <v>7.8</v>
      </c>
      <c r="E26">
        <v>10.199999999999999</v>
      </c>
      <c r="F26">
        <v>3</v>
      </c>
      <c r="G26">
        <v>1</v>
      </c>
    </row>
    <row r="27" spans="2:7">
      <c r="B27">
        <v>450</v>
      </c>
      <c r="C27" s="290" t="s">
        <v>388</v>
      </c>
      <c r="D27">
        <v>10.199999999999999</v>
      </c>
      <c r="E27">
        <v>16.3</v>
      </c>
      <c r="F27">
        <v>2</v>
      </c>
      <c r="G27">
        <v>2</v>
      </c>
    </row>
    <row r="28" spans="2:7">
      <c r="B28">
        <v>450</v>
      </c>
      <c r="C28" s="290" t="s">
        <v>389</v>
      </c>
      <c r="D28">
        <v>10.4</v>
      </c>
      <c r="E28">
        <v>10.8</v>
      </c>
      <c r="F28">
        <v>3</v>
      </c>
      <c r="G28">
        <v>1</v>
      </c>
    </row>
    <row r="29" spans="2:7">
      <c r="B29">
        <v>450</v>
      </c>
      <c r="C29" s="290" t="s">
        <v>389</v>
      </c>
      <c r="D29">
        <f>E28</f>
        <v>10.8</v>
      </c>
      <c r="E29">
        <v>16.7</v>
      </c>
      <c r="F29">
        <v>2</v>
      </c>
      <c r="G29">
        <v>2</v>
      </c>
    </row>
    <row r="30" spans="2:7">
      <c r="B30">
        <v>450</v>
      </c>
      <c r="C30" s="290" t="s">
        <v>389</v>
      </c>
      <c r="D30">
        <v>16.7</v>
      </c>
      <c r="E30">
        <v>20.5</v>
      </c>
      <c r="F30">
        <v>3</v>
      </c>
      <c r="G30">
        <v>2</v>
      </c>
    </row>
    <row r="31" spans="2:7">
      <c r="B31">
        <v>500</v>
      </c>
      <c r="C31" s="290" t="s">
        <v>536</v>
      </c>
      <c r="D31">
        <v>3.7</v>
      </c>
      <c r="E31">
        <v>4.9000000000000004</v>
      </c>
      <c r="F31">
        <v>1</v>
      </c>
      <c r="G31">
        <v>1</v>
      </c>
    </row>
    <row r="32" spans="2:7">
      <c r="B32">
        <v>500</v>
      </c>
      <c r="C32" s="290" t="s">
        <v>536</v>
      </c>
      <c r="D32">
        <f>E31</f>
        <v>4.9000000000000004</v>
      </c>
      <c r="E32">
        <v>7.5</v>
      </c>
      <c r="F32">
        <v>2</v>
      </c>
      <c r="G32">
        <v>1</v>
      </c>
    </row>
    <row r="33" spans="2:7">
      <c r="B33">
        <v>500</v>
      </c>
      <c r="C33" s="290" t="s">
        <v>387</v>
      </c>
      <c r="D33">
        <v>4.7</v>
      </c>
      <c r="E33">
        <v>7.8</v>
      </c>
      <c r="F33">
        <v>2</v>
      </c>
      <c r="G33">
        <v>1</v>
      </c>
    </row>
    <row r="34" spans="2:7">
      <c r="B34">
        <v>500</v>
      </c>
      <c r="C34" s="290" t="s">
        <v>387</v>
      </c>
      <c r="D34">
        <v>7.8</v>
      </c>
      <c r="E34">
        <v>9.6999999999999993</v>
      </c>
      <c r="F34">
        <v>3</v>
      </c>
      <c r="G34">
        <v>1</v>
      </c>
    </row>
    <row r="35" spans="2:7">
      <c r="B35">
        <v>500</v>
      </c>
      <c r="C35" s="290" t="s">
        <v>388</v>
      </c>
      <c r="D35">
        <v>7</v>
      </c>
      <c r="E35">
        <v>10</v>
      </c>
      <c r="F35">
        <v>3</v>
      </c>
      <c r="G35">
        <v>1</v>
      </c>
    </row>
    <row r="36" spans="2:7">
      <c r="B36">
        <v>500</v>
      </c>
      <c r="C36" s="290" t="s">
        <v>388</v>
      </c>
      <c r="D36">
        <f>E35</f>
        <v>10</v>
      </c>
      <c r="E36">
        <v>14.6</v>
      </c>
      <c r="F36">
        <v>2</v>
      </c>
      <c r="G36">
        <v>2</v>
      </c>
    </row>
    <row r="37" spans="2:7">
      <c r="B37">
        <v>500</v>
      </c>
      <c r="C37" s="290" t="s">
        <v>389</v>
      </c>
      <c r="D37">
        <v>9.1999999999999993</v>
      </c>
      <c r="E37">
        <v>10.7</v>
      </c>
      <c r="F37">
        <v>3</v>
      </c>
      <c r="G37">
        <v>1</v>
      </c>
    </row>
    <row r="38" spans="2:7">
      <c r="B38">
        <v>500</v>
      </c>
      <c r="C38" s="290" t="s">
        <v>389</v>
      </c>
      <c r="D38">
        <f>E37</f>
        <v>10.7</v>
      </c>
      <c r="E38">
        <v>16</v>
      </c>
      <c r="F38">
        <v>2</v>
      </c>
      <c r="G38">
        <v>2</v>
      </c>
    </row>
    <row r="39" spans="2:7">
      <c r="B39">
        <v>500</v>
      </c>
      <c r="C39" s="290" t="s">
        <v>389</v>
      </c>
      <c r="D39">
        <v>16</v>
      </c>
      <c r="E39">
        <v>18.3</v>
      </c>
      <c r="F39">
        <v>3</v>
      </c>
      <c r="G39">
        <v>2</v>
      </c>
    </row>
    <row r="40" spans="2:7">
      <c r="B40">
        <v>550</v>
      </c>
      <c r="C40" s="290" t="s">
        <v>536</v>
      </c>
      <c r="D40">
        <v>3.3</v>
      </c>
      <c r="E40">
        <v>4.9000000000000004</v>
      </c>
      <c r="F40">
        <v>1</v>
      </c>
      <c r="G40">
        <v>1</v>
      </c>
    </row>
    <row r="41" spans="2:7">
      <c r="B41">
        <v>550</v>
      </c>
      <c r="C41" s="290" t="s">
        <v>536</v>
      </c>
      <c r="D41">
        <f>E40</f>
        <v>4.9000000000000004</v>
      </c>
      <c r="E41">
        <v>6.8</v>
      </c>
      <c r="F41">
        <v>2</v>
      </c>
      <c r="G41">
        <v>1</v>
      </c>
    </row>
    <row r="42" spans="2:7">
      <c r="B42">
        <v>550</v>
      </c>
      <c r="C42" s="290" t="s">
        <v>387</v>
      </c>
      <c r="D42">
        <v>4.2</v>
      </c>
      <c r="E42">
        <v>4.5</v>
      </c>
      <c r="F42">
        <v>1</v>
      </c>
      <c r="G42">
        <v>1</v>
      </c>
    </row>
    <row r="43" spans="2:7">
      <c r="B43">
        <v>550</v>
      </c>
      <c r="C43" s="290" t="s">
        <v>387</v>
      </c>
      <c r="D43">
        <f>E42</f>
        <v>4.5</v>
      </c>
      <c r="E43">
        <v>7.5</v>
      </c>
      <c r="F43">
        <v>2</v>
      </c>
      <c r="G43">
        <v>1</v>
      </c>
    </row>
    <row r="44" spans="2:7">
      <c r="B44">
        <v>550</v>
      </c>
      <c r="C44" s="290" t="s">
        <v>387</v>
      </c>
      <c r="D44">
        <f>E43</f>
        <v>7.5</v>
      </c>
      <c r="E44">
        <v>8.8000000000000007</v>
      </c>
      <c r="F44">
        <v>3</v>
      </c>
      <c r="G44">
        <v>1</v>
      </c>
    </row>
    <row r="45" spans="2:7">
      <c r="B45">
        <v>550</v>
      </c>
      <c r="C45" s="290" t="s">
        <v>388</v>
      </c>
      <c r="D45">
        <v>6.3</v>
      </c>
      <c r="E45">
        <v>6.8</v>
      </c>
      <c r="F45">
        <v>2</v>
      </c>
      <c r="G45">
        <v>1</v>
      </c>
    </row>
    <row r="46" spans="2:7">
      <c r="B46">
        <v>550</v>
      </c>
      <c r="C46" s="290" t="s">
        <v>388</v>
      </c>
      <c r="D46">
        <v>6.8</v>
      </c>
      <c r="E46">
        <v>9.6999999999999993</v>
      </c>
      <c r="F46">
        <v>3</v>
      </c>
      <c r="G46">
        <v>1</v>
      </c>
    </row>
    <row r="47" spans="2:7">
      <c r="B47">
        <v>550</v>
      </c>
      <c r="C47" s="290" t="s">
        <v>388</v>
      </c>
      <c r="D47">
        <v>9.6999999999999993</v>
      </c>
      <c r="E47">
        <v>13.2</v>
      </c>
      <c r="F47">
        <v>2</v>
      </c>
      <c r="G47">
        <v>2</v>
      </c>
    </row>
    <row r="48" spans="2:7">
      <c r="B48">
        <v>550</v>
      </c>
      <c r="C48" s="290" t="s">
        <v>389</v>
      </c>
      <c r="D48">
        <v>8.3000000000000007</v>
      </c>
      <c r="E48">
        <v>10.4</v>
      </c>
      <c r="F48">
        <v>3</v>
      </c>
      <c r="G48">
        <v>1</v>
      </c>
    </row>
    <row r="49" spans="2:7">
      <c r="B49">
        <v>550</v>
      </c>
      <c r="C49" s="290" t="s">
        <v>389</v>
      </c>
      <c r="D49">
        <v>10.4</v>
      </c>
      <c r="E49">
        <v>15.3</v>
      </c>
      <c r="F49">
        <v>2</v>
      </c>
      <c r="G49">
        <v>2</v>
      </c>
    </row>
    <row r="50" spans="2:7">
      <c r="B50">
        <v>550</v>
      </c>
      <c r="C50" s="290" t="s">
        <v>389</v>
      </c>
      <c r="D50">
        <f>E49</f>
        <v>15.3</v>
      </c>
      <c r="E50">
        <v>16.5</v>
      </c>
      <c r="F50">
        <v>3</v>
      </c>
      <c r="G50">
        <v>2</v>
      </c>
    </row>
    <row r="51" spans="2:7">
      <c r="B51">
        <v>600</v>
      </c>
      <c r="C51" s="290" t="s">
        <v>536</v>
      </c>
      <c r="D51">
        <v>3</v>
      </c>
      <c r="E51">
        <v>4.7</v>
      </c>
      <c r="F51">
        <v>1</v>
      </c>
      <c r="G51">
        <v>1</v>
      </c>
    </row>
    <row r="52" spans="2:7">
      <c r="B52">
        <v>600</v>
      </c>
      <c r="C52" s="290" t="s">
        <v>536</v>
      </c>
      <c r="D52">
        <f>E51</f>
        <v>4.7</v>
      </c>
      <c r="E52">
        <v>6.2</v>
      </c>
      <c r="F52">
        <v>2</v>
      </c>
      <c r="G52">
        <v>1</v>
      </c>
    </row>
    <row r="53" spans="2:7">
      <c r="B53">
        <v>600</v>
      </c>
      <c r="C53" s="290" t="s">
        <v>387</v>
      </c>
      <c r="D53">
        <v>3.8</v>
      </c>
      <c r="E53">
        <v>4.2</v>
      </c>
      <c r="F53">
        <v>1</v>
      </c>
      <c r="G53">
        <v>1</v>
      </c>
    </row>
    <row r="54" spans="2:7">
      <c r="B54">
        <v>600</v>
      </c>
      <c r="C54" s="290" t="s">
        <v>387</v>
      </c>
      <c r="D54">
        <f>E53</f>
        <v>4.2</v>
      </c>
      <c r="E54">
        <v>7.2</v>
      </c>
      <c r="F54">
        <v>2</v>
      </c>
      <c r="G54">
        <v>1</v>
      </c>
    </row>
    <row r="55" spans="2:7">
      <c r="B55">
        <v>600</v>
      </c>
      <c r="C55" s="290" t="s">
        <v>387</v>
      </c>
      <c r="D55">
        <f>E54</f>
        <v>7.2</v>
      </c>
      <c r="E55">
        <v>8</v>
      </c>
      <c r="F55">
        <v>3</v>
      </c>
      <c r="G55">
        <v>1</v>
      </c>
    </row>
    <row r="56" spans="2:7">
      <c r="B56">
        <v>600</v>
      </c>
      <c r="C56" s="290" t="s">
        <v>388</v>
      </c>
      <c r="D56">
        <v>5.7</v>
      </c>
      <c r="E56">
        <v>6.7</v>
      </c>
      <c r="F56">
        <v>2</v>
      </c>
      <c r="G56">
        <v>1</v>
      </c>
    </row>
    <row r="57" spans="2:7">
      <c r="B57">
        <v>600</v>
      </c>
      <c r="C57" s="290" t="s">
        <v>388</v>
      </c>
      <c r="D57">
        <f>E56</f>
        <v>6.7</v>
      </c>
      <c r="E57">
        <v>9.1999999999999993</v>
      </c>
      <c r="F57">
        <v>3</v>
      </c>
      <c r="G57">
        <v>1</v>
      </c>
    </row>
    <row r="58" spans="2:7">
      <c r="B58">
        <v>600</v>
      </c>
      <c r="C58" s="290" t="s">
        <v>388</v>
      </c>
      <c r="D58">
        <f>E57</f>
        <v>9.1999999999999993</v>
      </c>
      <c r="E58">
        <v>12</v>
      </c>
      <c r="F58">
        <v>2</v>
      </c>
      <c r="G58">
        <v>2</v>
      </c>
    </row>
    <row r="59" spans="2:7">
      <c r="B59">
        <v>600</v>
      </c>
      <c r="C59" s="290" t="s">
        <v>389</v>
      </c>
      <c r="D59">
        <v>7.6</v>
      </c>
      <c r="E59">
        <v>10.199999999999999</v>
      </c>
      <c r="F59">
        <v>3</v>
      </c>
      <c r="G59">
        <v>1</v>
      </c>
    </row>
    <row r="60" spans="2:7">
      <c r="B60">
        <v>600</v>
      </c>
      <c r="C60" s="290" t="s">
        <v>389</v>
      </c>
      <c r="D60">
        <f>E59</f>
        <v>10.199999999999999</v>
      </c>
      <c r="E60">
        <v>15</v>
      </c>
      <c r="F60">
        <v>2</v>
      </c>
      <c r="G60">
        <v>2</v>
      </c>
    </row>
    <row r="61" spans="2:7">
      <c r="B61">
        <v>650</v>
      </c>
      <c r="C61" s="290" t="s">
        <v>536</v>
      </c>
      <c r="D61">
        <v>2.6</v>
      </c>
      <c r="E61">
        <v>4.0999999999999996</v>
      </c>
      <c r="F61">
        <v>1</v>
      </c>
      <c r="G61">
        <v>1</v>
      </c>
    </row>
    <row r="62" spans="2:7">
      <c r="B62">
        <v>650</v>
      </c>
      <c r="C62" s="290" t="s">
        <v>536</v>
      </c>
      <c r="D62">
        <v>4.0999999999999996</v>
      </c>
      <c r="E62">
        <v>5.6</v>
      </c>
      <c r="F62">
        <v>2</v>
      </c>
      <c r="G62">
        <v>1</v>
      </c>
    </row>
    <row r="63" spans="2:7">
      <c r="B63">
        <v>650</v>
      </c>
      <c r="C63" s="290" t="s">
        <v>387</v>
      </c>
      <c r="D63">
        <v>3.4</v>
      </c>
      <c r="E63">
        <v>6.4</v>
      </c>
      <c r="F63">
        <v>2</v>
      </c>
      <c r="G63">
        <v>1</v>
      </c>
    </row>
    <row r="64" spans="2:7">
      <c r="B64">
        <v>650</v>
      </c>
      <c r="C64" s="290" t="s">
        <v>387</v>
      </c>
      <c r="D64">
        <f>E63</f>
        <v>6.4</v>
      </c>
      <c r="E64">
        <v>7.3</v>
      </c>
      <c r="F64">
        <v>3</v>
      </c>
      <c r="G64">
        <v>1</v>
      </c>
    </row>
    <row r="65" spans="2:7">
      <c r="B65">
        <v>650</v>
      </c>
      <c r="C65" s="290" t="s">
        <v>388</v>
      </c>
      <c r="D65">
        <v>5.3</v>
      </c>
      <c r="E65">
        <v>8.4</v>
      </c>
      <c r="F65">
        <v>3</v>
      </c>
      <c r="G65">
        <v>1</v>
      </c>
    </row>
    <row r="66" spans="2:7">
      <c r="B66">
        <v>650</v>
      </c>
      <c r="C66" s="290" t="s">
        <v>388</v>
      </c>
      <c r="D66">
        <f>E65</f>
        <v>8.4</v>
      </c>
      <c r="E66">
        <v>11</v>
      </c>
      <c r="F66">
        <v>2</v>
      </c>
      <c r="G66">
        <v>2</v>
      </c>
    </row>
    <row r="67" spans="2:7">
      <c r="B67">
        <v>650</v>
      </c>
      <c r="C67" s="290" t="s">
        <v>389</v>
      </c>
      <c r="D67">
        <v>6.9</v>
      </c>
      <c r="E67">
        <v>10.5</v>
      </c>
      <c r="F67">
        <v>3</v>
      </c>
      <c r="G67">
        <v>1</v>
      </c>
    </row>
    <row r="68" spans="2:7">
      <c r="B68">
        <v>650</v>
      </c>
      <c r="C68" s="290" t="s">
        <v>389</v>
      </c>
      <c r="D68">
        <f>E67</f>
        <v>10.5</v>
      </c>
      <c r="E68">
        <v>14</v>
      </c>
      <c r="F68">
        <v>2</v>
      </c>
      <c r="G68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7"/>
  <dimension ref="A2:O159"/>
  <sheetViews>
    <sheetView zoomScale="90" zoomScaleNormal="90" workbookViewId="0">
      <selection activeCell="F154" sqref="F154"/>
    </sheetView>
  </sheetViews>
  <sheetFormatPr defaultColWidth="9.140625" defaultRowHeight="15"/>
  <cols>
    <col min="1" max="1" width="9.140625" style="386"/>
    <col min="2" max="3" width="9.140625" style="385"/>
    <col min="4" max="4" width="6.5703125" style="385" customWidth="1"/>
    <col min="5" max="5" width="12.5703125" style="385" customWidth="1"/>
    <col min="6" max="6" width="16.42578125" style="385" customWidth="1"/>
    <col min="7" max="7" width="14.140625" style="385" customWidth="1"/>
    <col min="8" max="9" width="9.140625" style="385"/>
    <col min="10" max="10" width="13.5703125" style="385" customWidth="1"/>
    <col min="11" max="13" width="9.140625" style="385"/>
    <col min="14" max="15" width="15" style="385" customWidth="1"/>
    <col min="16" max="16384" width="9.140625" style="385"/>
  </cols>
  <sheetData>
    <row r="2" spans="1:15">
      <c r="G2" s="387" t="s">
        <v>33</v>
      </c>
      <c r="H2" s="131" t="s">
        <v>85</v>
      </c>
      <c r="I2" s="132">
        <f>FFP17Вес</f>
        <v>4.4775999999999998</v>
      </c>
      <c r="J2" s="387" t="s">
        <v>515</v>
      </c>
      <c r="K2" s="132" t="str">
        <f ca="1">FreeFlap!E20</f>
        <v>372.91.175</v>
      </c>
      <c r="L2" s="131" t="s">
        <v>141</v>
      </c>
      <c r="M2" s="132">
        <f>FFP17Высота</f>
        <v>400</v>
      </c>
      <c r="N2" s="387" t="s">
        <v>535</v>
      </c>
      <c r="O2" s="132" t="str">
        <f>FreeFlap!K15</f>
        <v>Врезной</v>
      </c>
    </row>
    <row r="3" spans="1:15">
      <c r="E3" s="385">
        <v>1</v>
      </c>
      <c r="F3" s="385">
        <v>2</v>
      </c>
      <c r="G3" s="386" t="s">
        <v>515</v>
      </c>
      <c r="H3" s="386" t="s">
        <v>86</v>
      </c>
      <c r="I3" s="386" t="s">
        <v>87</v>
      </c>
      <c r="J3" s="386" t="s">
        <v>516</v>
      </c>
      <c r="K3" s="386" t="s">
        <v>59</v>
      </c>
      <c r="L3" s="386" t="s">
        <v>86</v>
      </c>
      <c r="M3" s="386" t="s">
        <v>87</v>
      </c>
      <c r="N3" s="386" t="s">
        <v>531</v>
      </c>
      <c r="O3" s="386" t="s">
        <v>532</v>
      </c>
    </row>
    <row r="4" spans="1:15">
      <c r="A4" s="386" t="str">
        <f>IF(AND($M$2&gt;L4,$M$2&lt;=M4),IF(AND($I$2&gt;=H4,$I$2&lt;I4),IF(E4=$K$2,J4,"-"),"-"),"-")</f>
        <v>-</v>
      </c>
      <c r="B4" s="386" t="str">
        <f t="shared" ref="B4:B35" si="0">IF(A4&lt;&gt;"-",ABS((FFP17Вес-H4)/(I4-H4)*2-1),"-")</f>
        <v>-</v>
      </c>
      <c r="C4" s="386"/>
      <c r="D4" s="386">
        <v>1</v>
      </c>
      <c r="E4" s="386" t="s">
        <v>9</v>
      </c>
      <c r="F4" s="386" t="s">
        <v>10</v>
      </c>
      <c r="G4" s="386" t="s">
        <v>510</v>
      </c>
      <c r="H4" s="385">
        <v>1.7</v>
      </c>
      <c r="I4" s="385">
        <v>3.1</v>
      </c>
      <c r="J4" s="387">
        <v>1</v>
      </c>
      <c r="K4" s="389">
        <v>1</v>
      </c>
      <c r="L4" s="385">
        <v>0</v>
      </c>
      <c r="M4" s="385">
        <v>200</v>
      </c>
      <c r="N4" s="388" t="s">
        <v>519</v>
      </c>
      <c r="O4" s="388" t="s">
        <v>522</v>
      </c>
    </row>
    <row r="5" spans="1:15">
      <c r="A5" s="386" t="str">
        <f t="shared" ref="A5:A68" si="1">IF(AND($M$2&gt;L5,$M$2&lt;=M5),IF(AND($I$2&gt;=H5,$I$2&lt;I5),IF(E5=$K$2,J5,"-"),"-"),"-")</f>
        <v>-</v>
      </c>
      <c r="B5" s="386" t="str">
        <f t="shared" si="0"/>
        <v>-</v>
      </c>
      <c r="C5" s="386"/>
      <c r="D5" s="386">
        <v>2</v>
      </c>
      <c r="E5" s="386" t="s">
        <v>9</v>
      </c>
      <c r="F5" s="386" t="s">
        <v>10</v>
      </c>
      <c r="G5" s="386" t="s">
        <v>510</v>
      </c>
      <c r="H5" s="385">
        <v>3.1</v>
      </c>
      <c r="I5" s="385">
        <v>4.5999999999999996</v>
      </c>
      <c r="J5" s="387">
        <v>1</v>
      </c>
      <c r="K5" s="389">
        <v>1</v>
      </c>
      <c r="L5" s="385">
        <v>0</v>
      </c>
      <c r="M5" s="385">
        <v>200</v>
      </c>
      <c r="N5" s="388" t="s">
        <v>519</v>
      </c>
      <c r="O5" s="388" t="s">
        <v>522</v>
      </c>
    </row>
    <row r="6" spans="1:15">
      <c r="A6" s="386" t="str">
        <f t="shared" si="1"/>
        <v>-</v>
      </c>
      <c r="B6" s="386" t="str">
        <f t="shared" si="0"/>
        <v>-</v>
      </c>
      <c r="C6" s="386"/>
      <c r="D6" s="386">
        <v>3</v>
      </c>
      <c r="E6" s="386" t="s">
        <v>123</v>
      </c>
      <c r="F6" s="386" t="s">
        <v>124</v>
      </c>
      <c r="G6" s="386" t="s">
        <v>511</v>
      </c>
      <c r="H6" s="385">
        <v>3.6</v>
      </c>
      <c r="I6" s="385">
        <v>5.4</v>
      </c>
      <c r="J6" s="387">
        <v>2</v>
      </c>
      <c r="K6" s="389">
        <v>1</v>
      </c>
      <c r="L6" s="385">
        <v>0</v>
      </c>
      <c r="M6" s="385">
        <v>200</v>
      </c>
      <c r="N6" s="388" t="s">
        <v>520</v>
      </c>
      <c r="O6" s="388" t="s">
        <v>523</v>
      </c>
    </row>
    <row r="7" spans="1:15">
      <c r="A7" s="386" t="str">
        <f t="shared" si="1"/>
        <v>-</v>
      </c>
      <c r="B7" s="386" t="str">
        <f t="shared" si="0"/>
        <v>-</v>
      </c>
      <c r="C7" s="386"/>
      <c r="D7" s="386">
        <v>4</v>
      </c>
      <c r="E7" s="386" t="s">
        <v>123</v>
      </c>
      <c r="F7" s="386" t="s">
        <v>124</v>
      </c>
      <c r="G7" s="386" t="s">
        <v>511</v>
      </c>
      <c r="H7" s="385">
        <v>5.4</v>
      </c>
      <c r="I7" s="385">
        <v>7.9</v>
      </c>
      <c r="J7" s="387">
        <v>3</v>
      </c>
      <c r="K7" s="389">
        <v>1</v>
      </c>
      <c r="L7" s="385">
        <v>0</v>
      </c>
      <c r="M7" s="385">
        <v>200</v>
      </c>
      <c r="N7" s="388" t="s">
        <v>521</v>
      </c>
      <c r="O7" s="388" t="s">
        <v>524</v>
      </c>
    </row>
    <row r="8" spans="1:15">
      <c r="A8" s="386" t="str">
        <f t="shared" si="1"/>
        <v>-</v>
      </c>
      <c r="B8" s="386" t="str">
        <f t="shared" si="0"/>
        <v>-</v>
      </c>
      <c r="C8" s="386"/>
      <c r="D8" s="386">
        <v>5</v>
      </c>
      <c r="E8" s="386" t="s">
        <v>125</v>
      </c>
      <c r="F8" s="386" t="s">
        <v>126</v>
      </c>
      <c r="G8" s="386" t="s">
        <v>514</v>
      </c>
      <c r="H8" s="385">
        <v>6.8</v>
      </c>
      <c r="I8" s="385">
        <v>8.3000000000000007</v>
      </c>
      <c r="J8" s="387">
        <v>3</v>
      </c>
      <c r="K8" s="389">
        <v>1</v>
      </c>
      <c r="L8" s="385">
        <v>0</v>
      </c>
      <c r="M8" s="385">
        <v>200</v>
      </c>
      <c r="N8" s="388" t="s">
        <v>521</v>
      </c>
      <c r="O8" s="388" t="s">
        <v>524</v>
      </c>
    </row>
    <row r="9" spans="1:15">
      <c r="A9" s="386" t="str">
        <f t="shared" si="1"/>
        <v>-</v>
      </c>
      <c r="B9" s="386" t="str">
        <f t="shared" si="0"/>
        <v>-</v>
      </c>
      <c r="C9" s="386"/>
      <c r="D9" s="386">
        <v>6</v>
      </c>
      <c r="E9" s="386" t="s">
        <v>125</v>
      </c>
      <c r="F9" s="386" t="s">
        <v>126</v>
      </c>
      <c r="G9" s="386" t="s">
        <v>514</v>
      </c>
      <c r="H9" s="385">
        <v>8.3000000000000007</v>
      </c>
      <c r="I9" s="385">
        <v>12.3</v>
      </c>
      <c r="J9" s="387">
        <v>2</v>
      </c>
      <c r="K9" s="389">
        <v>2</v>
      </c>
      <c r="L9" s="385">
        <v>0</v>
      </c>
      <c r="M9" s="385">
        <v>200</v>
      </c>
      <c r="N9" s="388" t="s">
        <v>520</v>
      </c>
      <c r="O9" s="388" t="s">
        <v>523</v>
      </c>
    </row>
    <row r="10" spans="1:15">
      <c r="A10" s="386" t="str">
        <f t="shared" si="1"/>
        <v>-</v>
      </c>
      <c r="B10" s="386" t="str">
        <f t="shared" si="0"/>
        <v>-</v>
      </c>
      <c r="C10" s="386"/>
      <c r="D10" s="386">
        <v>7</v>
      </c>
      <c r="E10" s="386" t="s">
        <v>125</v>
      </c>
      <c r="F10" s="386" t="s">
        <v>126</v>
      </c>
      <c r="G10" s="386" t="s">
        <v>514</v>
      </c>
      <c r="H10" s="385">
        <v>12.3</v>
      </c>
      <c r="I10" s="385">
        <v>14.7</v>
      </c>
      <c r="J10" s="387">
        <v>3</v>
      </c>
      <c r="K10" s="389">
        <v>2</v>
      </c>
      <c r="L10" s="385">
        <v>0</v>
      </c>
      <c r="M10" s="385">
        <v>200</v>
      </c>
      <c r="N10" s="388" t="s">
        <v>521</v>
      </c>
      <c r="O10" s="388" t="s">
        <v>524</v>
      </c>
    </row>
    <row r="11" spans="1:15">
      <c r="A11" s="386" t="str">
        <f t="shared" si="1"/>
        <v>-</v>
      </c>
      <c r="B11" s="386" t="str">
        <f t="shared" si="0"/>
        <v>-</v>
      </c>
      <c r="C11" s="386"/>
      <c r="D11" s="386">
        <v>8</v>
      </c>
      <c r="E11" s="386" t="s">
        <v>9</v>
      </c>
      <c r="F11" s="386" t="s">
        <v>10</v>
      </c>
      <c r="G11" s="386" t="s">
        <v>510</v>
      </c>
      <c r="H11" s="385">
        <v>1.5</v>
      </c>
      <c r="I11" s="385">
        <v>2.9</v>
      </c>
      <c r="J11" s="387">
        <v>1</v>
      </c>
      <c r="K11" s="389">
        <v>1</v>
      </c>
      <c r="L11" s="385">
        <f>M4</f>
        <v>200</v>
      </c>
      <c r="M11" s="385">
        <v>225</v>
      </c>
      <c r="N11" s="388" t="s">
        <v>519</v>
      </c>
      <c r="O11" s="388" t="s">
        <v>522</v>
      </c>
    </row>
    <row r="12" spans="1:15">
      <c r="A12" s="386" t="str">
        <f t="shared" si="1"/>
        <v>-</v>
      </c>
      <c r="B12" s="386" t="str">
        <f t="shared" si="0"/>
        <v>-</v>
      </c>
      <c r="C12" s="386"/>
      <c r="D12" s="386">
        <v>9</v>
      </c>
      <c r="E12" s="386" t="s">
        <v>9</v>
      </c>
      <c r="F12" s="386" t="s">
        <v>10</v>
      </c>
      <c r="G12" s="386" t="s">
        <v>510</v>
      </c>
      <c r="H12" s="385">
        <v>2.9</v>
      </c>
      <c r="I12" s="385">
        <v>4.0999999999999996</v>
      </c>
      <c r="J12" s="387">
        <v>2</v>
      </c>
      <c r="K12" s="389">
        <v>1</v>
      </c>
      <c r="L12" s="385">
        <f t="shared" ref="L12:L17" si="2">M5</f>
        <v>200</v>
      </c>
      <c r="M12" s="385">
        <v>225</v>
      </c>
      <c r="N12" s="388" t="s">
        <v>520</v>
      </c>
      <c r="O12" s="388" t="s">
        <v>523</v>
      </c>
    </row>
    <row r="13" spans="1:15">
      <c r="A13" s="386" t="str">
        <f t="shared" si="1"/>
        <v>-</v>
      </c>
      <c r="B13" s="386" t="str">
        <f t="shared" si="0"/>
        <v>-</v>
      </c>
      <c r="C13" s="386"/>
      <c r="D13" s="386">
        <v>10</v>
      </c>
      <c r="E13" s="386" t="s">
        <v>123</v>
      </c>
      <c r="F13" s="386" t="s">
        <v>124</v>
      </c>
      <c r="G13" s="386" t="s">
        <v>511</v>
      </c>
      <c r="H13" s="385">
        <v>3.1</v>
      </c>
      <c r="I13" s="385">
        <v>4.7</v>
      </c>
      <c r="J13" s="387">
        <v>2</v>
      </c>
      <c r="K13" s="389">
        <v>1</v>
      </c>
      <c r="L13" s="385">
        <f t="shared" si="2"/>
        <v>200</v>
      </c>
      <c r="M13" s="385">
        <v>225</v>
      </c>
      <c r="N13" s="388" t="s">
        <v>520</v>
      </c>
      <c r="O13" s="388" t="s">
        <v>523</v>
      </c>
    </row>
    <row r="14" spans="1:15">
      <c r="A14" s="386" t="str">
        <f t="shared" si="1"/>
        <v>-</v>
      </c>
      <c r="B14" s="386" t="str">
        <f t="shared" si="0"/>
        <v>-</v>
      </c>
      <c r="C14" s="386"/>
      <c r="D14" s="386">
        <v>11</v>
      </c>
      <c r="E14" s="386" t="s">
        <v>123</v>
      </c>
      <c r="F14" s="386" t="s">
        <v>124</v>
      </c>
      <c r="G14" s="386" t="s">
        <v>511</v>
      </c>
      <c r="H14" s="385">
        <v>4.7</v>
      </c>
      <c r="I14" s="385">
        <v>7.1</v>
      </c>
      <c r="J14" s="387">
        <v>3</v>
      </c>
      <c r="K14" s="389">
        <v>1</v>
      </c>
      <c r="L14" s="385">
        <f t="shared" si="2"/>
        <v>200</v>
      </c>
      <c r="M14" s="385">
        <v>225</v>
      </c>
      <c r="N14" s="388" t="s">
        <v>521</v>
      </c>
      <c r="O14" s="388" t="s">
        <v>524</v>
      </c>
    </row>
    <row r="15" spans="1:15">
      <c r="A15" s="386" t="str">
        <f t="shared" si="1"/>
        <v>-</v>
      </c>
      <c r="B15" s="386" t="str">
        <f t="shared" si="0"/>
        <v>-</v>
      </c>
      <c r="C15" s="386"/>
      <c r="D15" s="386">
        <v>12</v>
      </c>
      <c r="E15" s="386" t="s">
        <v>125</v>
      </c>
      <c r="F15" s="386" t="s">
        <v>126</v>
      </c>
      <c r="G15" s="386" t="s">
        <v>514</v>
      </c>
      <c r="H15" s="385">
        <v>6</v>
      </c>
      <c r="I15" s="385">
        <v>7.1</v>
      </c>
      <c r="J15" s="387">
        <v>3</v>
      </c>
      <c r="K15" s="389">
        <v>1</v>
      </c>
      <c r="L15" s="385">
        <f t="shared" si="2"/>
        <v>200</v>
      </c>
      <c r="M15" s="385">
        <v>225</v>
      </c>
      <c r="N15" s="388" t="s">
        <v>521</v>
      </c>
      <c r="O15" s="388" t="s">
        <v>524</v>
      </c>
    </row>
    <row r="16" spans="1:15">
      <c r="A16" s="386" t="str">
        <f t="shared" si="1"/>
        <v>-</v>
      </c>
      <c r="B16" s="386" t="str">
        <f t="shared" si="0"/>
        <v>-</v>
      </c>
      <c r="C16" s="386"/>
      <c r="D16" s="386">
        <v>13</v>
      </c>
      <c r="E16" s="386" t="s">
        <v>125</v>
      </c>
      <c r="F16" s="386" t="s">
        <v>126</v>
      </c>
      <c r="G16" s="386" t="s">
        <v>514</v>
      </c>
      <c r="H16" s="385">
        <v>7.1</v>
      </c>
      <c r="I16" s="385">
        <v>11.6</v>
      </c>
      <c r="J16" s="387">
        <v>2</v>
      </c>
      <c r="K16" s="389">
        <v>2</v>
      </c>
      <c r="L16" s="385">
        <f t="shared" si="2"/>
        <v>200</v>
      </c>
      <c r="M16" s="385">
        <v>225</v>
      </c>
      <c r="N16" s="388" t="s">
        <v>520</v>
      </c>
      <c r="O16" s="388" t="s">
        <v>523</v>
      </c>
    </row>
    <row r="17" spans="1:15">
      <c r="A17" s="386" t="str">
        <f t="shared" si="1"/>
        <v>-</v>
      </c>
      <c r="B17" s="386" t="str">
        <f t="shared" si="0"/>
        <v>-</v>
      </c>
      <c r="C17" s="386"/>
      <c r="D17" s="386">
        <v>14</v>
      </c>
      <c r="E17" s="386" t="s">
        <v>125</v>
      </c>
      <c r="F17" s="386" t="s">
        <v>126</v>
      </c>
      <c r="G17" s="386" t="s">
        <v>514</v>
      </c>
      <c r="H17" s="385">
        <v>11.6</v>
      </c>
      <c r="I17" s="385">
        <v>13.1</v>
      </c>
      <c r="J17" s="387">
        <v>3</v>
      </c>
      <c r="K17" s="389">
        <v>2</v>
      </c>
      <c r="L17" s="385">
        <f t="shared" si="2"/>
        <v>200</v>
      </c>
      <c r="M17" s="385">
        <v>225</v>
      </c>
      <c r="N17" s="388" t="s">
        <v>521</v>
      </c>
      <c r="O17" s="388" t="s">
        <v>524</v>
      </c>
    </row>
    <row r="18" spans="1:15">
      <c r="A18" s="386" t="str">
        <f t="shared" si="1"/>
        <v>-</v>
      </c>
      <c r="B18" s="386" t="str">
        <f t="shared" si="0"/>
        <v>-</v>
      </c>
      <c r="C18" s="386"/>
      <c r="D18" s="386">
        <v>15</v>
      </c>
      <c r="E18" s="386" t="s">
        <v>9</v>
      </c>
      <c r="F18" s="386" t="s">
        <v>10</v>
      </c>
      <c r="G18" s="386" t="s">
        <v>510</v>
      </c>
      <c r="H18" s="385">
        <v>1.3</v>
      </c>
      <c r="I18" s="385">
        <v>3.1</v>
      </c>
      <c r="J18" s="387">
        <v>1</v>
      </c>
      <c r="K18" s="389">
        <v>1</v>
      </c>
      <c r="L18" s="385">
        <f>M11</f>
        <v>225</v>
      </c>
      <c r="M18" s="385">
        <f>M11+25</f>
        <v>250</v>
      </c>
      <c r="N18" s="388" t="s">
        <v>519</v>
      </c>
      <c r="O18" s="388" t="s">
        <v>522</v>
      </c>
    </row>
    <row r="19" spans="1:15">
      <c r="A19" s="386" t="str">
        <f t="shared" si="1"/>
        <v>-</v>
      </c>
      <c r="B19" s="386" t="str">
        <f t="shared" si="0"/>
        <v>-</v>
      </c>
      <c r="C19" s="386"/>
      <c r="D19" s="386">
        <v>16</v>
      </c>
      <c r="E19" s="386" t="s">
        <v>9</v>
      </c>
      <c r="F19" s="386" t="s">
        <v>10</v>
      </c>
      <c r="G19" s="386" t="s">
        <v>510</v>
      </c>
      <c r="H19" s="385">
        <v>3.1</v>
      </c>
      <c r="I19" s="385">
        <v>3.8</v>
      </c>
      <c r="J19" s="387">
        <v>2</v>
      </c>
      <c r="K19" s="389">
        <v>1</v>
      </c>
      <c r="L19" s="385">
        <f>M12</f>
        <v>225</v>
      </c>
      <c r="M19" s="385">
        <f>M12+25</f>
        <v>250</v>
      </c>
      <c r="N19" s="388" t="s">
        <v>520</v>
      </c>
      <c r="O19" s="388" t="s">
        <v>523</v>
      </c>
    </row>
    <row r="20" spans="1:15">
      <c r="A20" s="386" t="str">
        <f t="shared" si="1"/>
        <v>-</v>
      </c>
      <c r="B20" s="386" t="str">
        <f t="shared" si="0"/>
        <v>-</v>
      </c>
      <c r="C20" s="386"/>
      <c r="D20" s="386">
        <v>17</v>
      </c>
      <c r="E20" s="386" t="s">
        <v>123</v>
      </c>
      <c r="F20" s="386" t="s">
        <v>124</v>
      </c>
      <c r="G20" s="386" t="s">
        <v>511</v>
      </c>
      <c r="H20" s="385">
        <v>2.9</v>
      </c>
      <c r="I20" s="385">
        <v>5.0999999999999996</v>
      </c>
      <c r="J20" s="387">
        <v>2</v>
      </c>
      <c r="K20" s="389">
        <v>1</v>
      </c>
      <c r="L20" s="385">
        <f>M13</f>
        <v>225</v>
      </c>
      <c r="M20" s="385">
        <f>M13+25</f>
        <v>250</v>
      </c>
      <c r="N20" s="388" t="s">
        <v>520</v>
      </c>
      <c r="O20" s="388" t="s">
        <v>523</v>
      </c>
    </row>
    <row r="21" spans="1:15">
      <c r="A21" s="386" t="str">
        <f t="shared" si="1"/>
        <v>-</v>
      </c>
      <c r="B21" s="386" t="str">
        <f t="shared" si="0"/>
        <v>-</v>
      </c>
      <c r="C21" s="386"/>
      <c r="D21" s="386">
        <v>18</v>
      </c>
      <c r="E21" s="386" t="s">
        <v>123</v>
      </c>
      <c r="F21" s="386" t="s">
        <v>124</v>
      </c>
      <c r="G21" s="386" t="s">
        <v>511</v>
      </c>
      <c r="H21" s="385">
        <v>5.0999999999999996</v>
      </c>
      <c r="I21" s="385">
        <v>6.4</v>
      </c>
      <c r="J21" s="387">
        <v>3</v>
      </c>
      <c r="K21" s="389">
        <v>1</v>
      </c>
      <c r="L21" s="385">
        <f>M14</f>
        <v>225</v>
      </c>
      <c r="M21" s="385">
        <f>M14+25</f>
        <v>250</v>
      </c>
      <c r="N21" s="388" t="s">
        <v>521</v>
      </c>
      <c r="O21" s="388" t="s">
        <v>524</v>
      </c>
    </row>
    <row r="22" spans="1:15">
      <c r="A22" s="386" t="str">
        <f t="shared" si="1"/>
        <v>-</v>
      </c>
      <c r="B22" s="386" t="str">
        <f t="shared" si="0"/>
        <v>-</v>
      </c>
      <c r="C22" s="386"/>
      <c r="D22" s="386">
        <v>19</v>
      </c>
      <c r="E22" s="386" t="s">
        <v>125</v>
      </c>
      <c r="F22" s="386" t="s">
        <v>126</v>
      </c>
      <c r="G22" s="386" t="s">
        <v>514</v>
      </c>
      <c r="H22" s="385">
        <v>5.4</v>
      </c>
      <c r="I22" s="385">
        <v>6.9</v>
      </c>
      <c r="J22" s="387">
        <v>3</v>
      </c>
      <c r="K22" s="389">
        <v>1</v>
      </c>
      <c r="L22" s="385">
        <f>M15</f>
        <v>225</v>
      </c>
      <c r="M22" s="385">
        <f t="shared" ref="M22:M24" si="3">M15+25</f>
        <v>250</v>
      </c>
      <c r="N22" s="388" t="s">
        <v>521</v>
      </c>
      <c r="O22" s="388" t="s">
        <v>524</v>
      </c>
    </row>
    <row r="23" spans="1:15">
      <c r="A23" s="386" t="str">
        <f t="shared" si="1"/>
        <v>-</v>
      </c>
      <c r="B23" s="386" t="str">
        <f t="shared" si="0"/>
        <v>-</v>
      </c>
      <c r="C23" s="386"/>
      <c r="D23" s="386">
        <v>20</v>
      </c>
      <c r="E23" s="386" t="s">
        <v>125</v>
      </c>
      <c r="F23" s="386" t="s">
        <v>126</v>
      </c>
      <c r="G23" s="386" t="s">
        <v>514</v>
      </c>
      <c r="H23" s="385">
        <v>6.9</v>
      </c>
      <c r="I23" s="385">
        <v>10.5</v>
      </c>
      <c r="J23" s="387">
        <v>2</v>
      </c>
      <c r="K23" s="389">
        <v>2</v>
      </c>
      <c r="L23" s="385">
        <f t="shared" ref="L23:L24" si="4">M16</f>
        <v>225</v>
      </c>
      <c r="M23" s="385">
        <f t="shared" si="3"/>
        <v>250</v>
      </c>
      <c r="N23" s="388" t="s">
        <v>520</v>
      </c>
      <c r="O23" s="388" t="s">
        <v>523</v>
      </c>
    </row>
    <row r="24" spans="1:15">
      <c r="A24" s="386" t="str">
        <f t="shared" si="1"/>
        <v>-</v>
      </c>
      <c r="B24" s="386" t="str">
        <f t="shared" si="0"/>
        <v>-</v>
      </c>
      <c r="C24" s="386"/>
      <c r="D24" s="386">
        <v>21</v>
      </c>
      <c r="E24" s="386" t="s">
        <v>125</v>
      </c>
      <c r="F24" s="386" t="s">
        <v>126</v>
      </c>
      <c r="G24" s="386" t="s">
        <v>514</v>
      </c>
      <c r="H24" s="385">
        <v>10.5</v>
      </c>
      <c r="I24" s="385">
        <v>11.8</v>
      </c>
      <c r="J24" s="387">
        <v>3</v>
      </c>
      <c r="K24" s="389">
        <v>2</v>
      </c>
      <c r="L24" s="385">
        <f t="shared" si="4"/>
        <v>225</v>
      </c>
      <c r="M24" s="385">
        <f t="shared" si="3"/>
        <v>250</v>
      </c>
      <c r="N24" s="388" t="s">
        <v>521</v>
      </c>
      <c r="O24" s="388" t="s">
        <v>524</v>
      </c>
    </row>
    <row r="25" spans="1:15">
      <c r="A25" s="386" t="str">
        <f t="shared" si="1"/>
        <v>-</v>
      </c>
      <c r="B25" s="386" t="str">
        <f t="shared" si="0"/>
        <v>-</v>
      </c>
      <c r="C25" s="386"/>
      <c r="D25" s="386">
        <v>22</v>
      </c>
      <c r="E25" s="386" t="s">
        <v>9</v>
      </c>
      <c r="F25" s="386" t="s">
        <v>10</v>
      </c>
      <c r="G25" s="386" t="s">
        <v>510</v>
      </c>
      <c r="H25" s="385">
        <v>1.2</v>
      </c>
      <c r="I25" s="385">
        <v>3</v>
      </c>
      <c r="J25" s="385">
        <v>1</v>
      </c>
      <c r="K25" s="389">
        <v>1</v>
      </c>
      <c r="L25" s="385">
        <f>M18</f>
        <v>250</v>
      </c>
      <c r="M25" s="385">
        <f>M18+25</f>
        <v>275</v>
      </c>
      <c r="N25" s="388" t="s">
        <v>519</v>
      </c>
      <c r="O25" s="388" t="s">
        <v>522</v>
      </c>
    </row>
    <row r="26" spans="1:15">
      <c r="A26" s="386" t="str">
        <f t="shared" si="1"/>
        <v>-</v>
      </c>
      <c r="B26" s="386" t="str">
        <f t="shared" si="0"/>
        <v>-</v>
      </c>
      <c r="C26" s="386"/>
      <c r="D26" s="386">
        <v>23</v>
      </c>
      <c r="E26" s="386" t="s">
        <v>9</v>
      </c>
      <c r="F26" s="386" t="s">
        <v>10</v>
      </c>
      <c r="G26" s="386" t="s">
        <v>510</v>
      </c>
      <c r="H26" s="385">
        <v>3</v>
      </c>
      <c r="I26" s="385">
        <v>3.3</v>
      </c>
      <c r="J26" s="385">
        <v>2</v>
      </c>
      <c r="K26" s="389">
        <v>1</v>
      </c>
      <c r="L26" s="385">
        <f t="shared" ref="L26:L32" si="5">M19</f>
        <v>250</v>
      </c>
      <c r="M26" s="385">
        <f t="shared" ref="M26:M32" si="6">M19+25</f>
        <v>275</v>
      </c>
      <c r="N26" s="388" t="s">
        <v>520</v>
      </c>
      <c r="O26" s="388" t="s">
        <v>523</v>
      </c>
    </row>
    <row r="27" spans="1:15">
      <c r="A27" s="386" t="str">
        <f t="shared" si="1"/>
        <v>-</v>
      </c>
      <c r="B27" s="386" t="str">
        <f t="shared" si="0"/>
        <v>-</v>
      </c>
      <c r="C27" s="386"/>
      <c r="D27" s="386">
        <v>24</v>
      </c>
      <c r="E27" s="386" t="s">
        <v>123</v>
      </c>
      <c r="F27" s="386" t="s">
        <v>124</v>
      </c>
      <c r="G27" s="386" t="s">
        <v>511</v>
      </c>
      <c r="H27" s="385">
        <v>2.5</v>
      </c>
      <c r="I27" s="385">
        <v>3.3</v>
      </c>
      <c r="J27" s="387">
        <v>1</v>
      </c>
      <c r="K27" s="389">
        <v>1</v>
      </c>
      <c r="L27" s="385">
        <f t="shared" si="5"/>
        <v>250</v>
      </c>
      <c r="M27" s="385">
        <f t="shared" si="6"/>
        <v>275</v>
      </c>
      <c r="N27" s="388" t="s">
        <v>519</v>
      </c>
      <c r="O27" s="388" t="s">
        <v>522</v>
      </c>
    </row>
    <row r="28" spans="1:15">
      <c r="A28" s="386" t="str">
        <f t="shared" si="1"/>
        <v>-</v>
      </c>
      <c r="B28" s="386" t="str">
        <f t="shared" si="0"/>
        <v>-</v>
      </c>
      <c r="C28" s="386"/>
      <c r="D28" s="386">
        <v>25</v>
      </c>
      <c r="E28" s="386" t="s">
        <v>123</v>
      </c>
      <c r="F28" s="386" t="s">
        <v>124</v>
      </c>
      <c r="G28" s="386" t="s">
        <v>511</v>
      </c>
      <c r="H28" s="385">
        <v>3.3</v>
      </c>
      <c r="I28" s="385">
        <v>5</v>
      </c>
      <c r="J28" s="387">
        <v>2</v>
      </c>
      <c r="K28" s="389">
        <v>1</v>
      </c>
      <c r="L28" s="385">
        <f t="shared" si="5"/>
        <v>250</v>
      </c>
      <c r="M28" s="385">
        <f t="shared" si="6"/>
        <v>275</v>
      </c>
      <c r="N28" s="388" t="s">
        <v>520</v>
      </c>
      <c r="O28" s="388" t="s">
        <v>523</v>
      </c>
    </row>
    <row r="29" spans="1:15">
      <c r="A29" s="386" t="str">
        <f t="shared" si="1"/>
        <v>-</v>
      </c>
      <c r="B29" s="386" t="str">
        <f t="shared" si="0"/>
        <v>-</v>
      </c>
      <c r="C29" s="386"/>
      <c r="D29" s="386">
        <v>26</v>
      </c>
      <c r="E29" s="386" t="s">
        <v>123</v>
      </c>
      <c r="F29" s="386" t="s">
        <v>124</v>
      </c>
      <c r="G29" s="386" t="s">
        <v>511</v>
      </c>
      <c r="H29" s="385">
        <v>5</v>
      </c>
      <c r="I29" s="385">
        <v>5.7</v>
      </c>
      <c r="J29" s="387">
        <v>3</v>
      </c>
      <c r="K29" s="389">
        <v>1</v>
      </c>
      <c r="L29" s="385">
        <f t="shared" si="5"/>
        <v>250</v>
      </c>
      <c r="M29" s="385">
        <f t="shared" si="6"/>
        <v>275</v>
      </c>
      <c r="N29" s="388" t="s">
        <v>521</v>
      </c>
      <c r="O29" s="388" t="s">
        <v>524</v>
      </c>
    </row>
    <row r="30" spans="1:15">
      <c r="A30" s="386" t="str">
        <f t="shared" si="1"/>
        <v>-</v>
      </c>
      <c r="B30" s="386" t="str">
        <f t="shared" si="0"/>
        <v>-</v>
      </c>
      <c r="C30" s="386"/>
      <c r="D30" s="386">
        <v>27</v>
      </c>
      <c r="E30" s="386" t="s">
        <v>125</v>
      </c>
      <c r="F30" s="386" t="s">
        <v>126</v>
      </c>
      <c r="G30" s="386" t="s">
        <v>514</v>
      </c>
      <c r="H30" s="385">
        <v>4.8</v>
      </c>
      <c r="I30" s="385">
        <v>6.8</v>
      </c>
      <c r="J30" s="387">
        <v>3</v>
      </c>
      <c r="K30" s="389">
        <v>1</v>
      </c>
      <c r="L30" s="385">
        <f t="shared" si="5"/>
        <v>250</v>
      </c>
      <c r="M30" s="385">
        <f t="shared" si="6"/>
        <v>275</v>
      </c>
      <c r="N30" s="388" t="s">
        <v>521</v>
      </c>
      <c r="O30" s="388" t="s">
        <v>524</v>
      </c>
    </row>
    <row r="31" spans="1:15">
      <c r="A31" s="386" t="str">
        <f t="shared" si="1"/>
        <v>-</v>
      </c>
      <c r="B31" s="386" t="str">
        <f t="shared" si="0"/>
        <v>-</v>
      </c>
      <c r="C31" s="386"/>
      <c r="D31" s="386">
        <v>28</v>
      </c>
      <c r="E31" s="386" t="s">
        <v>125</v>
      </c>
      <c r="F31" s="386" t="s">
        <v>126</v>
      </c>
      <c r="G31" s="386" t="s">
        <v>514</v>
      </c>
      <c r="H31" s="385">
        <v>6.8</v>
      </c>
      <c r="I31" s="385">
        <v>10</v>
      </c>
      <c r="J31" s="387">
        <v>2</v>
      </c>
      <c r="K31" s="389">
        <v>2</v>
      </c>
      <c r="L31" s="385">
        <f t="shared" si="5"/>
        <v>250</v>
      </c>
      <c r="M31" s="385">
        <f t="shared" si="6"/>
        <v>275</v>
      </c>
      <c r="N31" s="388" t="s">
        <v>520</v>
      </c>
      <c r="O31" s="388" t="s">
        <v>523</v>
      </c>
    </row>
    <row r="32" spans="1:15">
      <c r="A32" s="386" t="str">
        <f t="shared" si="1"/>
        <v>-</v>
      </c>
      <c r="B32" s="386" t="str">
        <f t="shared" si="0"/>
        <v>-</v>
      </c>
      <c r="C32" s="386"/>
      <c r="D32" s="386">
        <v>29</v>
      </c>
      <c r="E32" s="386" t="s">
        <v>125</v>
      </c>
      <c r="F32" s="386" t="s">
        <v>126</v>
      </c>
      <c r="G32" s="386" t="s">
        <v>514</v>
      </c>
      <c r="H32" s="385">
        <v>10</v>
      </c>
      <c r="I32" s="385">
        <v>10.6</v>
      </c>
      <c r="J32" s="387">
        <v>3</v>
      </c>
      <c r="K32" s="389">
        <v>2</v>
      </c>
      <c r="L32" s="385">
        <f t="shared" si="5"/>
        <v>275</v>
      </c>
      <c r="M32" s="385">
        <f t="shared" si="6"/>
        <v>300</v>
      </c>
      <c r="N32" s="388" t="s">
        <v>521</v>
      </c>
      <c r="O32" s="388" t="s">
        <v>524</v>
      </c>
    </row>
    <row r="33" spans="1:15">
      <c r="A33" s="386" t="str">
        <f t="shared" si="1"/>
        <v>-</v>
      </c>
      <c r="B33" s="386" t="str">
        <f t="shared" si="0"/>
        <v>-</v>
      </c>
      <c r="C33" s="386"/>
      <c r="D33" s="386">
        <v>30</v>
      </c>
      <c r="E33" s="386" t="s">
        <v>9</v>
      </c>
      <c r="F33" s="386" t="s">
        <v>10</v>
      </c>
      <c r="G33" s="386" t="s">
        <v>510</v>
      </c>
      <c r="H33" s="385">
        <v>1.1000000000000001</v>
      </c>
      <c r="I33" s="385">
        <v>2.7</v>
      </c>
      <c r="J33" s="385">
        <v>1</v>
      </c>
      <c r="K33" s="389">
        <v>1</v>
      </c>
      <c r="L33" s="385">
        <f>M25</f>
        <v>275</v>
      </c>
      <c r="M33" s="385">
        <f>M25+25</f>
        <v>300</v>
      </c>
      <c r="N33" s="388" t="s">
        <v>519</v>
      </c>
      <c r="O33" s="388" t="s">
        <v>522</v>
      </c>
    </row>
    <row r="34" spans="1:15">
      <c r="A34" s="386" t="str">
        <f t="shared" si="1"/>
        <v>-</v>
      </c>
      <c r="B34" s="386" t="str">
        <f t="shared" si="0"/>
        <v>-</v>
      </c>
      <c r="C34" s="386"/>
      <c r="D34" s="386">
        <v>31</v>
      </c>
      <c r="E34" s="386" t="s">
        <v>9</v>
      </c>
      <c r="F34" s="386" t="s">
        <v>10</v>
      </c>
      <c r="G34" s="386" t="s">
        <v>510</v>
      </c>
      <c r="H34" s="385">
        <v>2.7</v>
      </c>
      <c r="I34" s="385">
        <v>3.1</v>
      </c>
      <c r="J34" s="385">
        <v>1</v>
      </c>
      <c r="K34" s="389">
        <v>1</v>
      </c>
      <c r="L34" s="385">
        <f t="shared" ref="L34:L37" si="7">M26</f>
        <v>275</v>
      </c>
      <c r="M34" s="385">
        <f t="shared" ref="M34:M37" si="8">M26+25</f>
        <v>300</v>
      </c>
      <c r="N34" s="388" t="s">
        <v>519</v>
      </c>
      <c r="O34" s="388" t="s">
        <v>522</v>
      </c>
    </row>
    <row r="35" spans="1:15">
      <c r="A35" s="386" t="str">
        <f t="shared" si="1"/>
        <v>-</v>
      </c>
      <c r="B35" s="386" t="str">
        <f t="shared" si="0"/>
        <v>-</v>
      </c>
      <c r="C35" s="386"/>
      <c r="D35" s="386">
        <v>32</v>
      </c>
      <c r="E35" s="386" t="s">
        <v>123</v>
      </c>
      <c r="F35" s="386" t="s">
        <v>124</v>
      </c>
      <c r="G35" s="386" t="s">
        <v>511</v>
      </c>
      <c r="H35" s="385">
        <v>2.4</v>
      </c>
      <c r="I35" s="385">
        <v>3</v>
      </c>
      <c r="J35" s="387">
        <v>1</v>
      </c>
      <c r="K35" s="389">
        <v>1</v>
      </c>
      <c r="L35" s="385">
        <f t="shared" si="7"/>
        <v>275</v>
      </c>
      <c r="M35" s="385">
        <f t="shared" si="8"/>
        <v>300</v>
      </c>
      <c r="N35" s="388" t="s">
        <v>519</v>
      </c>
      <c r="O35" s="388" t="s">
        <v>522</v>
      </c>
    </row>
    <row r="36" spans="1:15">
      <c r="A36" s="386" t="str">
        <f t="shared" si="1"/>
        <v>-</v>
      </c>
      <c r="B36" s="386" t="str">
        <f t="shared" ref="B36:B67" si="9">IF(A36&lt;&gt;"-",ABS((FFP17Вес-H36)/(I36-H36)*2-1),"-")</f>
        <v>-</v>
      </c>
      <c r="C36" s="386"/>
      <c r="D36" s="386">
        <v>33</v>
      </c>
      <c r="E36" s="386" t="s">
        <v>123</v>
      </c>
      <c r="F36" s="386" t="s">
        <v>124</v>
      </c>
      <c r="G36" s="386" t="s">
        <v>511</v>
      </c>
      <c r="H36" s="385">
        <v>3</v>
      </c>
      <c r="I36" s="385">
        <v>4.5999999999999996</v>
      </c>
      <c r="J36" s="385">
        <v>2</v>
      </c>
      <c r="K36" s="389">
        <v>1</v>
      </c>
      <c r="L36" s="385">
        <f t="shared" si="7"/>
        <v>275</v>
      </c>
      <c r="M36" s="385">
        <f t="shared" si="8"/>
        <v>300</v>
      </c>
      <c r="N36" s="388" t="s">
        <v>520</v>
      </c>
      <c r="O36" s="388" t="s">
        <v>523</v>
      </c>
    </row>
    <row r="37" spans="1:15">
      <c r="A37" s="386" t="str">
        <f t="shared" si="1"/>
        <v>-</v>
      </c>
      <c r="B37" s="386" t="str">
        <f t="shared" si="9"/>
        <v>-</v>
      </c>
      <c r="C37" s="386"/>
      <c r="D37" s="386">
        <v>34</v>
      </c>
      <c r="E37" s="386" t="s">
        <v>123</v>
      </c>
      <c r="F37" s="386" t="s">
        <v>124</v>
      </c>
      <c r="G37" s="386" t="s">
        <v>511</v>
      </c>
      <c r="H37" s="385">
        <v>4.5999999999999996</v>
      </c>
      <c r="I37" s="385">
        <v>5.0999999999999996</v>
      </c>
      <c r="J37" s="385">
        <v>3</v>
      </c>
      <c r="K37" s="389">
        <v>1</v>
      </c>
      <c r="L37" s="385">
        <f t="shared" si="7"/>
        <v>275</v>
      </c>
      <c r="M37" s="385">
        <f t="shared" si="8"/>
        <v>300</v>
      </c>
      <c r="N37" s="388" t="s">
        <v>521</v>
      </c>
      <c r="O37" s="388" t="s">
        <v>524</v>
      </c>
    </row>
    <row r="38" spans="1:15">
      <c r="A38" s="386" t="str">
        <f t="shared" si="1"/>
        <v>-</v>
      </c>
      <c r="B38" s="386" t="str">
        <f t="shared" si="9"/>
        <v>-</v>
      </c>
      <c r="C38" s="386"/>
      <c r="D38" s="386">
        <v>35</v>
      </c>
      <c r="E38" s="386" t="s">
        <v>125</v>
      </c>
      <c r="F38" s="386" t="s">
        <v>126</v>
      </c>
      <c r="G38" s="386" t="s">
        <v>514</v>
      </c>
      <c r="H38" s="385">
        <v>4.4000000000000004</v>
      </c>
      <c r="I38" s="385">
        <v>6.6</v>
      </c>
      <c r="J38" s="385">
        <v>3</v>
      </c>
      <c r="K38" s="389">
        <v>1</v>
      </c>
      <c r="L38" s="385">
        <f>M30</f>
        <v>275</v>
      </c>
      <c r="M38" s="385">
        <f>M30+25</f>
        <v>300</v>
      </c>
      <c r="N38" s="388" t="s">
        <v>521</v>
      </c>
      <c r="O38" s="388" t="s">
        <v>524</v>
      </c>
    </row>
    <row r="39" spans="1:15">
      <c r="A39" s="386" t="str">
        <f t="shared" si="1"/>
        <v>-</v>
      </c>
      <c r="B39" s="386" t="str">
        <f t="shared" si="9"/>
        <v>-</v>
      </c>
      <c r="C39" s="386"/>
      <c r="D39" s="386">
        <v>36</v>
      </c>
      <c r="E39" s="386" t="s">
        <v>125</v>
      </c>
      <c r="F39" s="386" t="s">
        <v>126</v>
      </c>
      <c r="G39" s="386" t="s">
        <v>514</v>
      </c>
      <c r="H39" s="385">
        <v>6.6</v>
      </c>
      <c r="I39" s="385">
        <v>9.6</v>
      </c>
      <c r="J39" s="385">
        <v>2</v>
      </c>
      <c r="K39" s="389">
        <v>2</v>
      </c>
      <c r="L39" s="385">
        <f>M31</f>
        <v>275</v>
      </c>
      <c r="M39" s="385">
        <f>M31+25</f>
        <v>300</v>
      </c>
      <c r="N39" s="388" t="s">
        <v>520</v>
      </c>
      <c r="O39" s="388" t="s">
        <v>523</v>
      </c>
    </row>
    <row r="40" spans="1:15">
      <c r="A40" s="386" t="str">
        <f t="shared" si="1"/>
        <v>-</v>
      </c>
      <c r="B40" s="386" t="str">
        <f t="shared" si="9"/>
        <v>-</v>
      </c>
      <c r="C40" s="386"/>
      <c r="D40" s="386">
        <v>37</v>
      </c>
      <c r="E40" s="386" t="s">
        <v>9</v>
      </c>
      <c r="F40" s="386" t="s">
        <v>10</v>
      </c>
      <c r="G40" s="386" t="s">
        <v>510</v>
      </c>
      <c r="H40" s="385">
        <v>1</v>
      </c>
      <c r="I40" s="385">
        <v>2.6</v>
      </c>
      <c r="J40" s="385">
        <v>1</v>
      </c>
      <c r="K40" s="389">
        <v>1</v>
      </c>
      <c r="L40" s="385">
        <f>M33</f>
        <v>300</v>
      </c>
      <c r="M40" s="385">
        <f>M33+25</f>
        <v>325</v>
      </c>
      <c r="N40" s="388" t="s">
        <v>519</v>
      </c>
      <c r="O40" s="388" t="s">
        <v>522</v>
      </c>
    </row>
    <row r="41" spans="1:15">
      <c r="A41" s="386" t="str">
        <f t="shared" si="1"/>
        <v>-</v>
      </c>
      <c r="B41" s="386" t="str">
        <f t="shared" si="9"/>
        <v>-</v>
      </c>
      <c r="C41" s="386"/>
      <c r="D41" s="386">
        <v>38</v>
      </c>
      <c r="E41" s="386" t="s">
        <v>9</v>
      </c>
      <c r="F41" s="386" t="s">
        <v>10</v>
      </c>
      <c r="G41" s="386" t="s">
        <v>510</v>
      </c>
      <c r="H41" s="385">
        <v>2.6</v>
      </c>
      <c r="I41" s="385">
        <v>2.8</v>
      </c>
      <c r="J41" s="385">
        <v>2</v>
      </c>
      <c r="K41" s="389">
        <v>1</v>
      </c>
      <c r="L41" s="385">
        <f t="shared" ref="L41:L44" si="10">M34</f>
        <v>300</v>
      </c>
      <c r="M41" s="385">
        <f t="shared" ref="M41:M46" si="11">M34+25</f>
        <v>325</v>
      </c>
      <c r="N41" s="388" t="s">
        <v>520</v>
      </c>
      <c r="O41" s="388" t="s">
        <v>523</v>
      </c>
    </row>
    <row r="42" spans="1:15">
      <c r="A42" s="386" t="str">
        <f t="shared" si="1"/>
        <v>-</v>
      </c>
      <c r="B42" s="386" t="str">
        <f t="shared" si="9"/>
        <v>-</v>
      </c>
      <c r="C42" s="386"/>
      <c r="D42" s="386">
        <v>39</v>
      </c>
      <c r="E42" s="386" t="s">
        <v>123</v>
      </c>
      <c r="F42" s="386" t="s">
        <v>124</v>
      </c>
      <c r="G42" s="386" t="s">
        <v>511</v>
      </c>
      <c r="H42" s="385">
        <v>2.1</v>
      </c>
      <c r="I42" s="385">
        <v>3</v>
      </c>
      <c r="J42" s="385">
        <v>1</v>
      </c>
      <c r="K42" s="389">
        <v>1</v>
      </c>
      <c r="L42" s="385">
        <f t="shared" si="10"/>
        <v>300</v>
      </c>
      <c r="M42" s="385">
        <f t="shared" si="11"/>
        <v>325</v>
      </c>
      <c r="N42" s="388" t="s">
        <v>519</v>
      </c>
      <c r="O42" s="388" t="s">
        <v>522</v>
      </c>
    </row>
    <row r="43" spans="1:15">
      <c r="A43" s="386" t="str">
        <f t="shared" si="1"/>
        <v>-</v>
      </c>
      <c r="B43" s="386" t="str">
        <f t="shared" si="9"/>
        <v>-</v>
      </c>
      <c r="C43" s="386"/>
      <c r="D43" s="386">
        <v>40</v>
      </c>
      <c r="E43" s="386" t="s">
        <v>123</v>
      </c>
      <c r="F43" s="386" t="s">
        <v>124</v>
      </c>
      <c r="G43" s="386" t="s">
        <v>511</v>
      </c>
      <c r="H43" s="385">
        <v>3</v>
      </c>
      <c r="I43" s="385">
        <v>4.2</v>
      </c>
      <c r="J43" s="385">
        <v>1</v>
      </c>
      <c r="K43" s="389">
        <v>1</v>
      </c>
      <c r="L43" s="385">
        <f t="shared" si="10"/>
        <v>300</v>
      </c>
      <c r="M43" s="385">
        <f t="shared" si="11"/>
        <v>325</v>
      </c>
      <c r="N43" s="388" t="s">
        <v>519</v>
      </c>
      <c r="O43" s="388" t="s">
        <v>522</v>
      </c>
    </row>
    <row r="44" spans="1:15">
      <c r="A44" s="386" t="str">
        <f t="shared" si="1"/>
        <v>-</v>
      </c>
      <c r="B44" s="386" t="str">
        <f t="shared" si="9"/>
        <v>-</v>
      </c>
      <c r="C44" s="386"/>
      <c r="D44" s="386">
        <v>41</v>
      </c>
      <c r="E44" s="386" t="s">
        <v>123</v>
      </c>
      <c r="F44" s="386" t="s">
        <v>124</v>
      </c>
      <c r="G44" s="386" t="s">
        <v>511</v>
      </c>
      <c r="H44" s="385">
        <v>4.2</v>
      </c>
      <c r="I44" s="385">
        <v>4.5999999999999996</v>
      </c>
      <c r="J44" s="385">
        <v>1</v>
      </c>
      <c r="K44" s="389">
        <v>1</v>
      </c>
      <c r="L44" s="385">
        <f t="shared" si="10"/>
        <v>300</v>
      </c>
      <c r="M44" s="385">
        <f t="shared" si="11"/>
        <v>325</v>
      </c>
      <c r="N44" s="388" t="s">
        <v>519</v>
      </c>
      <c r="O44" s="388" t="s">
        <v>522</v>
      </c>
    </row>
    <row r="45" spans="1:15">
      <c r="A45" s="386" t="str">
        <f t="shared" si="1"/>
        <v>-</v>
      </c>
      <c r="B45" s="386" t="str">
        <f t="shared" si="9"/>
        <v>-</v>
      </c>
      <c r="C45" s="386"/>
      <c r="D45" s="386">
        <v>42</v>
      </c>
      <c r="E45" s="386" t="s">
        <v>125</v>
      </c>
      <c r="F45" s="386" t="s">
        <v>126</v>
      </c>
      <c r="G45" s="386" t="s">
        <v>514</v>
      </c>
      <c r="H45" s="385">
        <v>4</v>
      </c>
      <c r="I45" s="385">
        <v>6</v>
      </c>
      <c r="J45" s="385">
        <v>3</v>
      </c>
      <c r="K45" s="389">
        <v>1</v>
      </c>
      <c r="L45" s="385">
        <f t="shared" ref="L45:L50" si="12">M38</f>
        <v>300</v>
      </c>
      <c r="M45" s="385">
        <f t="shared" si="11"/>
        <v>325</v>
      </c>
      <c r="N45" s="388" t="s">
        <v>521</v>
      </c>
      <c r="O45" s="388" t="s">
        <v>524</v>
      </c>
    </row>
    <row r="46" spans="1:15">
      <c r="A46" s="386" t="str">
        <f t="shared" si="1"/>
        <v>-</v>
      </c>
      <c r="B46" s="386" t="str">
        <f t="shared" si="9"/>
        <v>-</v>
      </c>
      <c r="C46" s="386"/>
      <c r="D46" s="386">
        <v>43</v>
      </c>
      <c r="E46" s="386" t="s">
        <v>125</v>
      </c>
      <c r="F46" s="386" t="s">
        <v>126</v>
      </c>
      <c r="G46" s="386" t="s">
        <v>514</v>
      </c>
      <c r="H46" s="385">
        <v>6</v>
      </c>
      <c r="I46" s="385">
        <v>8.8000000000000007</v>
      </c>
      <c r="J46" s="385">
        <v>2</v>
      </c>
      <c r="K46" s="389">
        <v>2</v>
      </c>
      <c r="L46" s="385">
        <f t="shared" si="12"/>
        <v>300</v>
      </c>
      <c r="M46" s="385">
        <f t="shared" si="11"/>
        <v>325</v>
      </c>
      <c r="N46" s="388" t="s">
        <v>520</v>
      </c>
      <c r="O46" s="388" t="s">
        <v>523</v>
      </c>
    </row>
    <row r="47" spans="1:15">
      <c r="A47" s="386" t="str">
        <f t="shared" si="1"/>
        <v>-</v>
      </c>
      <c r="B47" s="386" t="str">
        <f t="shared" si="9"/>
        <v>-</v>
      </c>
      <c r="C47" s="386"/>
      <c r="D47" s="386">
        <v>44</v>
      </c>
      <c r="E47" s="386" t="s">
        <v>9</v>
      </c>
      <c r="F47" s="386" t="s">
        <v>10</v>
      </c>
      <c r="G47" s="386" t="s">
        <v>510</v>
      </c>
      <c r="H47" s="385">
        <v>0.9</v>
      </c>
      <c r="I47" s="385">
        <v>2.4</v>
      </c>
      <c r="J47" s="385">
        <v>1</v>
      </c>
      <c r="K47" s="389">
        <v>1</v>
      </c>
      <c r="L47" s="385">
        <f t="shared" si="12"/>
        <v>325</v>
      </c>
      <c r="M47" s="385">
        <f>M40+25</f>
        <v>350</v>
      </c>
      <c r="N47" s="388" t="s">
        <v>519</v>
      </c>
      <c r="O47" s="388" t="s">
        <v>522</v>
      </c>
    </row>
    <row r="48" spans="1:15">
      <c r="A48" s="386" t="str">
        <f t="shared" si="1"/>
        <v>-</v>
      </c>
      <c r="B48" s="386" t="str">
        <f t="shared" si="9"/>
        <v>-</v>
      </c>
      <c r="C48" s="386"/>
      <c r="D48" s="386">
        <v>45</v>
      </c>
      <c r="E48" s="386" t="s">
        <v>9</v>
      </c>
      <c r="F48" s="386" t="s">
        <v>10</v>
      </c>
      <c r="G48" s="386" t="s">
        <v>510</v>
      </c>
      <c r="H48" s="385">
        <v>2.4</v>
      </c>
      <c r="I48" s="385">
        <v>2.6</v>
      </c>
      <c r="J48" s="385">
        <v>2</v>
      </c>
      <c r="K48" s="389">
        <v>1</v>
      </c>
      <c r="L48" s="385">
        <f t="shared" si="12"/>
        <v>325</v>
      </c>
      <c r="M48" s="385">
        <f>M41+25</f>
        <v>350</v>
      </c>
      <c r="N48" s="388" t="s">
        <v>520</v>
      </c>
      <c r="O48" s="388" t="s">
        <v>523</v>
      </c>
    </row>
    <row r="49" spans="1:15">
      <c r="A49" s="386" t="str">
        <f t="shared" si="1"/>
        <v>-</v>
      </c>
      <c r="B49" s="386" t="str">
        <f t="shared" si="9"/>
        <v>-</v>
      </c>
      <c r="C49" s="386"/>
      <c r="D49" s="386">
        <v>46</v>
      </c>
      <c r="E49" s="386" t="s">
        <v>123</v>
      </c>
      <c r="F49" s="386" t="s">
        <v>124</v>
      </c>
      <c r="G49" s="386" t="s">
        <v>511</v>
      </c>
      <c r="H49" s="385">
        <v>2</v>
      </c>
      <c r="I49" s="385">
        <v>2.9</v>
      </c>
      <c r="J49" s="385">
        <v>1</v>
      </c>
      <c r="K49" s="389">
        <v>1</v>
      </c>
      <c r="L49" s="385">
        <f t="shared" si="12"/>
        <v>325</v>
      </c>
      <c r="M49" s="385">
        <f>M42+25</f>
        <v>350</v>
      </c>
      <c r="N49" s="388" t="s">
        <v>519</v>
      </c>
      <c r="O49" s="388" t="s">
        <v>522</v>
      </c>
    </row>
    <row r="50" spans="1:15">
      <c r="A50" s="386" t="str">
        <f t="shared" si="1"/>
        <v>-</v>
      </c>
      <c r="B50" s="386" t="str">
        <f t="shared" si="9"/>
        <v>-</v>
      </c>
      <c r="C50" s="386"/>
      <c r="D50" s="386">
        <v>47</v>
      </c>
      <c r="E50" s="386" t="s">
        <v>123</v>
      </c>
      <c r="F50" s="386" t="s">
        <v>124</v>
      </c>
      <c r="G50" s="386" t="s">
        <v>511</v>
      </c>
      <c r="H50" s="385">
        <v>2.9</v>
      </c>
      <c r="I50" s="385">
        <v>4.2</v>
      </c>
      <c r="J50" s="385">
        <v>2</v>
      </c>
      <c r="K50" s="389">
        <v>1</v>
      </c>
      <c r="L50" s="385">
        <f t="shared" si="12"/>
        <v>325</v>
      </c>
      <c r="M50" s="385">
        <f>M43+25</f>
        <v>350</v>
      </c>
      <c r="N50" s="388" t="s">
        <v>520</v>
      </c>
      <c r="O50" s="388" t="s">
        <v>523</v>
      </c>
    </row>
    <row r="51" spans="1:15">
      <c r="A51" s="386" t="str">
        <f t="shared" si="1"/>
        <v>-</v>
      </c>
      <c r="B51" s="386" t="str">
        <f t="shared" si="9"/>
        <v>-</v>
      </c>
      <c r="C51" s="386"/>
      <c r="D51" s="386">
        <v>48</v>
      </c>
      <c r="E51" s="386" t="s">
        <v>125</v>
      </c>
      <c r="F51" s="386" t="s">
        <v>126</v>
      </c>
      <c r="G51" s="386" t="s">
        <v>514</v>
      </c>
      <c r="H51" s="385">
        <v>3.7</v>
      </c>
      <c r="I51" s="385">
        <v>3.9</v>
      </c>
      <c r="J51" s="385">
        <v>2</v>
      </c>
      <c r="K51" s="389">
        <v>1</v>
      </c>
      <c r="L51" s="385">
        <f>M45</f>
        <v>325</v>
      </c>
      <c r="M51" s="385">
        <f t="shared" ref="M51:M52" si="13">M45+25</f>
        <v>350</v>
      </c>
      <c r="N51" s="388" t="s">
        <v>520</v>
      </c>
      <c r="O51" s="388" t="s">
        <v>523</v>
      </c>
    </row>
    <row r="52" spans="1:15">
      <c r="A52" s="386" t="str">
        <f t="shared" si="1"/>
        <v>-</v>
      </c>
      <c r="B52" s="386" t="str">
        <f t="shared" si="9"/>
        <v>-</v>
      </c>
      <c r="C52" s="386"/>
      <c r="D52" s="386">
        <v>49</v>
      </c>
      <c r="E52" s="386" t="s">
        <v>125</v>
      </c>
      <c r="F52" s="386" t="s">
        <v>126</v>
      </c>
      <c r="G52" s="386" t="s">
        <v>514</v>
      </c>
      <c r="H52" s="385">
        <v>3.9</v>
      </c>
      <c r="I52" s="385">
        <v>5.9</v>
      </c>
      <c r="J52" s="385">
        <v>3</v>
      </c>
      <c r="K52" s="389">
        <v>1</v>
      </c>
      <c r="L52" s="385">
        <f>M46</f>
        <v>325</v>
      </c>
      <c r="M52" s="385">
        <f t="shared" si="13"/>
        <v>350</v>
      </c>
      <c r="N52" s="388" t="s">
        <v>521</v>
      </c>
      <c r="O52" s="388" t="s">
        <v>524</v>
      </c>
    </row>
    <row r="53" spans="1:15">
      <c r="A53" s="386" t="str">
        <f t="shared" si="1"/>
        <v>-</v>
      </c>
      <c r="B53" s="386" t="str">
        <f t="shared" si="9"/>
        <v>-</v>
      </c>
      <c r="C53" s="386"/>
      <c r="D53" s="386">
        <v>50</v>
      </c>
      <c r="E53" s="386" t="s">
        <v>125</v>
      </c>
      <c r="F53" s="386" t="s">
        <v>126</v>
      </c>
      <c r="G53" s="386" t="s">
        <v>514</v>
      </c>
      <c r="H53" s="385">
        <v>5.9</v>
      </c>
      <c r="I53" s="385">
        <v>8.1</v>
      </c>
      <c r="J53" s="385">
        <v>2</v>
      </c>
      <c r="K53" s="389">
        <v>2</v>
      </c>
      <c r="L53" s="385">
        <v>325</v>
      </c>
      <c r="M53" s="385">
        <v>350</v>
      </c>
      <c r="N53" s="388" t="s">
        <v>520</v>
      </c>
      <c r="O53" s="388" t="s">
        <v>523</v>
      </c>
    </row>
    <row r="54" spans="1:15">
      <c r="A54" s="386" t="str">
        <f t="shared" si="1"/>
        <v>-</v>
      </c>
      <c r="B54" s="386" t="str">
        <f t="shared" si="9"/>
        <v>-</v>
      </c>
      <c r="C54" s="386"/>
      <c r="D54" s="386">
        <v>51</v>
      </c>
      <c r="E54" s="386" t="s">
        <v>9</v>
      </c>
      <c r="F54" s="386" t="s">
        <v>10</v>
      </c>
      <c r="G54" s="386" t="s">
        <v>510</v>
      </c>
      <c r="H54" s="385">
        <v>0.9</v>
      </c>
      <c r="I54" s="385">
        <v>2.2999999999999998</v>
      </c>
      <c r="J54" s="385">
        <v>1</v>
      </c>
      <c r="K54" s="389">
        <v>1</v>
      </c>
      <c r="L54" s="385">
        <f>M47</f>
        <v>350</v>
      </c>
      <c r="M54" s="385">
        <f>M47+25</f>
        <v>375</v>
      </c>
      <c r="N54" s="388" t="s">
        <v>519</v>
      </c>
      <c r="O54" s="388" t="s">
        <v>522</v>
      </c>
    </row>
    <row r="55" spans="1:15">
      <c r="A55" s="386" t="str">
        <f t="shared" si="1"/>
        <v>-</v>
      </c>
      <c r="B55" s="386" t="str">
        <f t="shared" si="9"/>
        <v>-</v>
      </c>
      <c r="C55" s="386"/>
      <c r="D55" s="386">
        <v>52</v>
      </c>
      <c r="E55" s="386" t="s">
        <v>123</v>
      </c>
      <c r="F55" s="386" t="s">
        <v>124</v>
      </c>
      <c r="G55" s="386" t="s">
        <v>511</v>
      </c>
      <c r="H55" s="385">
        <v>1.9</v>
      </c>
      <c r="I55" s="385">
        <v>2.7</v>
      </c>
      <c r="J55" s="385">
        <v>1</v>
      </c>
      <c r="K55" s="389">
        <v>1</v>
      </c>
      <c r="L55" s="385">
        <f>M49</f>
        <v>350</v>
      </c>
      <c r="M55" s="385">
        <f>M49+25</f>
        <v>375</v>
      </c>
      <c r="N55" s="388" t="s">
        <v>519</v>
      </c>
      <c r="O55" s="388" t="s">
        <v>522</v>
      </c>
    </row>
    <row r="56" spans="1:15">
      <c r="A56" s="386" t="str">
        <f t="shared" si="1"/>
        <v>-</v>
      </c>
      <c r="B56" s="386" t="str">
        <f t="shared" si="9"/>
        <v>-</v>
      </c>
      <c r="C56" s="386"/>
      <c r="D56" s="386">
        <v>53</v>
      </c>
      <c r="E56" s="386" t="s">
        <v>123</v>
      </c>
      <c r="F56" s="386" t="s">
        <v>124</v>
      </c>
      <c r="G56" s="386" t="s">
        <v>511</v>
      </c>
      <c r="H56" s="385">
        <v>2.7</v>
      </c>
      <c r="I56" s="385">
        <v>3.8</v>
      </c>
      <c r="J56" s="385">
        <v>2</v>
      </c>
      <c r="K56" s="389">
        <v>1</v>
      </c>
      <c r="L56" s="385">
        <f t="shared" ref="L56:L59" si="14">M50</f>
        <v>350</v>
      </c>
      <c r="M56" s="385">
        <f>M50+25</f>
        <v>375</v>
      </c>
      <c r="N56" s="388" t="s">
        <v>520</v>
      </c>
      <c r="O56" s="388" t="s">
        <v>523</v>
      </c>
    </row>
    <row r="57" spans="1:15">
      <c r="A57" s="386" t="str">
        <f t="shared" si="1"/>
        <v>-</v>
      </c>
      <c r="B57" s="386" t="str">
        <f t="shared" si="9"/>
        <v>-</v>
      </c>
      <c r="C57" s="386"/>
      <c r="D57" s="386">
        <v>54</v>
      </c>
      <c r="E57" s="386" t="s">
        <v>125</v>
      </c>
      <c r="F57" s="386" t="s">
        <v>126</v>
      </c>
      <c r="G57" s="386" t="s">
        <v>514</v>
      </c>
      <c r="H57" s="385">
        <v>3.5</v>
      </c>
      <c r="I57" s="385">
        <v>3.9</v>
      </c>
      <c r="J57" s="385">
        <v>2</v>
      </c>
      <c r="K57" s="389">
        <v>1</v>
      </c>
      <c r="L57" s="385">
        <f t="shared" si="14"/>
        <v>350</v>
      </c>
      <c r="M57" s="385">
        <f t="shared" ref="M57:M59" si="15">M51+25</f>
        <v>375</v>
      </c>
      <c r="N57" s="388" t="s">
        <v>520</v>
      </c>
      <c r="O57" s="388" t="s">
        <v>523</v>
      </c>
    </row>
    <row r="58" spans="1:15">
      <c r="A58" s="386" t="str">
        <f t="shared" si="1"/>
        <v>-</v>
      </c>
      <c r="B58" s="386" t="str">
        <f t="shared" si="9"/>
        <v>-</v>
      </c>
      <c r="C58" s="386"/>
      <c r="D58" s="386">
        <v>55</v>
      </c>
      <c r="E58" s="386" t="s">
        <v>125</v>
      </c>
      <c r="F58" s="386" t="s">
        <v>126</v>
      </c>
      <c r="G58" s="386" t="s">
        <v>514</v>
      </c>
      <c r="H58" s="385">
        <v>3.9</v>
      </c>
      <c r="I58" s="385">
        <v>5.7</v>
      </c>
      <c r="J58" s="385">
        <v>3</v>
      </c>
      <c r="K58" s="389">
        <v>1</v>
      </c>
      <c r="L58" s="385">
        <f t="shared" si="14"/>
        <v>350</v>
      </c>
      <c r="M58" s="385">
        <f t="shared" si="15"/>
        <v>375</v>
      </c>
      <c r="N58" s="388" t="s">
        <v>521</v>
      </c>
      <c r="O58" s="388" t="s">
        <v>524</v>
      </c>
    </row>
    <row r="59" spans="1:15">
      <c r="A59" s="386" t="str">
        <f t="shared" si="1"/>
        <v>-</v>
      </c>
      <c r="B59" s="386" t="str">
        <f t="shared" si="9"/>
        <v>-</v>
      </c>
      <c r="C59" s="386"/>
      <c r="D59" s="386">
        <v>56</v>
      </c>
      <c r="E59" s="386" t="s">
        <v>125</v>
      </c>
      <c r="F59" s="386" t="s">
        <v>126</v>
      </c>
      <c r="G59" s="386" t="s">
        <v>514</v>
      </c>
      <c r="H59" s="385">
        <v>5.7</v>
      </c>
      <c r="I59" s="385">
        <v>7.5</v>
      </c>
      <c r="J59" s="385">
        <v>2</v>
      </c>
      <c r="K59" s="389">
        <v>2</v>
      </c>
      <c r="L59" s="385">
        <f t="shared" si="14"/>
        <v>350</v>
      </c>
      <c r="M59" s="385">
        <f t="shared" si="15"/>
        <v>375</v>
      </c>
      <c r="N59" s="388" t="s">
        <v>520</v>
      </c>
      <c r="O59" s="388" t="s">
        <v>523</v>
      </c>
    </row>
    <row r="60" spans="1:15">
      <c r="A60" s="386" t="str">
        <f t="shared" si="1"/>
        <v>-</v>
      </c>
      <c r="B60" s="386" t="str">
        <f t="shared" si="9"/>
        <v>-</v>
      </c>
      <c r="C60" s="386"/>
      <c r="D60" s="386">
        <v>57</v>
      </c>
      <c r="E60" s="386" t="s">
        <v>9</v>
      </c>
      <c r="F60" s="386" t="s">
        <v>10</v>
      </c>
      <c r="G60" s="386" t="s">
        <v>510</v>
      </c>
      <c r="H60" s="385">
        <v>0.8</v>
      </c>
      <c r="I60" s="385">
        <v>2.1</v>
      </c>
      <c r="J60" s="385">
        <v>1</v>
      </c>
      <c r="K60" s="389">
        <v>1</v>
      </c>
      <c r="L60" s="385">
        <f>M54</f>
        <v>375</v>
      </c>
      <c r="M60" s="385">
        <f>M54+25</f>
        <v>400</v>
      </c>
      <c r="N60" s="388" t="s">
        <v>519</v>
      </c>
      <c r="O60" s="388" t="s">
        <v>522</v>
      </c>
    </row>
    <row r="61" spans="1:15">
      <c r="A61" s="386" t="str">
        <f t="shared" si="1"/>
        <v>-</v>
      </c>
      <c r="B61" s="386" t="str">
        <f t="shared" si="9"/>
        <v>-</v>
      </c>
      <c r="C61" s="386"/>
      <c r="D61" s="386">
        <v>58</v>
      </c>
      <c r="E61" s="386" t="s">
        <v>123</v>
      </c>
      <c r="F61" s="386" t="s">
        <v>124</v>
      </c>
      <c r="G61" s="386" t="s">
        <v>511</v>
      </c>
      <c r="H61" s="385">
        <v>1.7</v>
      </c>
      <c r="I61" s="385">
        <v>2.7</v>
      </c>
      <c r="J61" s="385">
        <v>1</v>
      </c>
      <c r="K61" s="389">
        <v>1</v>
      </c>
      <c r="L61" s="385">
        <f>M55</f>
        <v>375</v>
      </c>
      <c r="M61" s="385">
        <f>M55+25</f>
        <v>400</v>
      </c>
      <c r="N61" s="388" t="s">
        <v>519</v>
      </c>
      <c r="O61" s="388" t="s">
        <v>522</v>
      </c>
    </row>
    <row r="62" spans="1:15">
      <c r="A62" s="386" t="str">
        <f t="shared" si="1"/>
        <v>-</v>
      </c>
      <c r="B62" s="386" t="str">
        <f t="shared" si="9"/>
        <v>-</v>
      </c>
      <c r="C62" s="386"/>
      <c r="D62" s="386">
        <v>59</v>
      </c>
      <c r="E62" s="386" t="s">
        <v>123</v>
      </c>
      <c r="F62" s="386" t="s">
        <v>124</v>
      </c>
      <c r="G62" s="386" t="s">
        <v>511</v>
      </c>
      <c r="H62" s="385">
        <v>2.7</v>
      </c>
      <c r="I62" s="385">
        <v>3.6</v>
      </c>
      <c r="J62" s="385">
        <v>2</v>
      </c>
      <c r="K62" s="389">
        <v>1</v>
      </c>
      <c r="L62" s="385">
        <f t="shared" ref="L62:L65" si="16">M56</f>
        <v>375</v>
      </c>
      <c r="M62" s="385">
        <f t="shared" ref="M62:M65" si="17">M56+25</f>
        <v>400</v>
      </c>
      <c r="N62" s="388" t="s">
        <v>520</v>
      </c>
      <c r="O62" s="388" t="s">
        <v>523</v>
      </c>
    </row>
    <row r="63" spans="1:15">
      <c r="A63" s="386" t="str">
        <f t="shared" si="1"/>
        <v>-</v>
      </c>
      <c r="B63" s="386" t="str">
        <f t="shared" si="9"/>
        <v>-</v>
      </c>
      <c r="C63" s="386"/>
      <c r="D63" s="386">
        <v>60</v>
      </c>
      <c r="E63" s="386" t="s">
        <v>125</v>
      </c>
      <c r="F63" s="386" t="s">
        <v>126</v>
      </c>
      <c r="G63" s="386" t="s">
        <v>514</v>
      </c>
      <c r="H63" s="385">
        <v>3.2</v>
      </c>
      <c r="I63" s="385">
        <v>3.8</v>
      </c>
      <c r="J63" s="385">
        <v>2</v>
      </c>
      <c r="K63" s="389">
        <v>1</v>
      </c>
      <c r="L63" s="385">
        <f t="shared" si="16"/>
        <v>375</v>
      </c>
      <c r="M63" s="385">
        <f t="shared" si="17"/>
        <v>400</v>
      </c>
      <c r="N63" s="388" t="s">
        <v>520</v>
      </c>
      <c r="O63" s="388" t="s">
        <v>523</v>
      </c>
    </row>
    <row r="64" spans="1:15">
      <c r="A64" s="386">
        <f t="shared" ca="1" si="1"/>
        <v>3</v>
      </c>
      <c r="B64" s="386">
        <f t="shared" ca="1" si="9"/>
        <v>0.24711111111111106</v>
      </c>
      <c r="C64" s="386"/>
      <c r="D64" s="386">
        <v>61</v>
      </c>
      <c r="E64" s="386" t="s">
        <v>125</v>
      </c>
      <c r="F64" s="386" t="s">
        <v>126</v>
      </c>
      <c r="G64" s="386" t="s">
        <v>514</v>
      </c>
      <c r="H64" s="385">
        <v>3.8</v>
      </c>
      <c r="I64" s="385">
        <v>5.6</v>
      </c>
      <c r="J64" s="385">
        <v>3</v>
      </c>
      <c r="K64" s="389">
        <v>1</v>
      </c>
      <c r="L64" s="385">
        <f t="shared" si="16"/>
        <v>375</v>
      </c>
      <c r="M64" s="385">
        <f t="shared" si="17"/>
        <v>400</v>
      </c>
      <c r="N64" s="388" t="s">
        <v>521</v>
      </c>
      <c r="O64" s="388" t="s">
        <v>524</v>
      </c>
    </row>
    <row r="65" spans="1:15">
      <c r="A65" s="386" t="str">
        <f t="shared" si="1"/>
        <v>-</v>
      </c>
      <c r="B65" s="386" t="str">
        <f t="shared" si="9"/>
        <v>-</v>
      </c>
      <c r="C65" s="386"/>
      <c r="D65" s="386">
        <v>62</v>
      </c>
      <c r="E65" s="386" t="s">
        <v>125</v>
      </c>
      <c r="F65" s="386" t="s">
        <v>126</v>
      </c>
      <c r="G65" s="386" t="s">
        <v>514</v>
      </c>
      <c r="H65" s="385">
        <v>5.6</v>
      </c>
      <c r="I65" s="385">
        <v>7</v>
      </c>
      <c r="J65" s="385">
        <v>2</v>
      </c>
      <c r="K65" s="389">
        <v>2</v>
      </c>
      <c r="L65" s="385">
        <f t="shared" si="16"/>
        <v>375</v>
      </c>
      <c r="M65" s="385">
        <f t="shared" si="17"/>
        <v>400</v>
      </c>
      <c r="N65" s="388" t="s">
        <v>520</v>
      </c>
      <c r="O65" s="388" t="s">
        <v>523</v>
      </c>
    </row>
    <row r="66" spans="1:15">
      <c r="A66" s="386" t="str">
        <f t="shared" si="1"/>
        <v>-</v>
      </c>
      <c r="B66" s="386" t="str">
        <f t="shared" si="9"/>
        <v>-</v>
      </c>
      <c r="C66" s="386"/>
      <c r="D66" s="386">
        <v>63</v>
      </c>
      <c r="E66" s="386" t="s">
        <v>9</v>
      </c>
      <c r="F66" s="386" t="s">
        <v>10</v>
      </c>
      <c r="G66" s="386" t="s">
        <v>510</v>
      </c>
      <c r="H66" s="385">
        <v>0.7</v>
      </c>
      <c r="I66" s="385">
        <v>1.9</v>
      </c>
      <c r="J66" s="385">
        <v>1</v>
      </c>
      <c r="K66" s="389">
        <v>1</v>
      </c>
      <c r="L66" s="385">
        <f>M60</f>
        <v>400</v>
      </c>
      <c r="M66" s="385">
        <f>M60+25</f>
        <v>425</v>
      </c>
      <c r="N66" s="388" t="s">
        <v>519</v>
      </c>
      <c r="O66" s="388" t="s">
        <v>522</v>
      </c>
    </row>
    <row r="67" spans="1:15">
      <c r="A67" s="386" t="str">
        <f t="shared" si="1"/>
        <v>-</v>
      </c>
      <c r="B67" s="386" t="str">
        <f t="shared" si="9"/>
        <v>-</v>
      </c>
      <c r="C67" s="386"/>
      <c r="D67" s="386">
        <v>64</v>
      </c>
      <c r="E67" s="386" t="s">
        <v>123</v>
      </c>
      <c r="F67" s="386" t="s">
        <v>124</v>
      </c>
      <c r="G67" s="386" t="s">
        <v>511</v>
      </c>
      <c r="H67" s="385">
        <v>1.5</v>
      </c>
      <c r="I67" s="385">
        <v>2.2999999999999998</v>
      </c>
      <c r="J67" s="385">
        <v>1</v>
      </c>
      <c r="K67" s="389">
        <v>1</v>
      </c>
      <c r="L67" s="385">
        <f>M61</f>
        <v>400</v>
      </c>
      <c r="M67" s="385">
        <f>M61+25</f>
        <v>425</v>
      </c>
      <c r="N67" s="388" t="s">
        <v>519</v>
      </c>
      <c r="O67" s="388" t="s">
        <v>522</v>
      </c>
    </row>
    <row r="68" spans="1:15">
      <c r="A68" s="386" t="str">
        <f t="shared" si="1"/>
        <v>-</v>
      </c>
      <c r="B68" s="386" t="str">
        <f t="shared" ref="B68:B77" si="18">IF(A68&lt;&gt;"-",ABS((FFP17Вес-H68)/(I68-H68)*2-1),"-")</f>
        <v>-</v>
      </c>
      <c r="C68" s="386"/>
      <c r="D68" s="386">
        <v>65</v>
      </c>
      <c r="E68" s="386" t="s">
        <v>123</v>
      </c>
      <c r="F68" s="386" t="s">
        <v>124</v>
      </c>
      <c r="G68" s="386" t="s">
        <v>511</v>
      </c>
      <c r="H68" s="385">
        <v>2.2999999999999998</v>
      </c>
      <c r="I68" s="385">
        <v>4</v>
      </c>
      <c r="J68" s="385">
        <v>2</v>
      </c>
      <c r="K68" s="389">
        <v>1</v>
      </c>
      <c r="L68" s="385">
        <f t="shared" ref="L68:L71" si="19">M62</f>
        <v>400</v>
      </c>
      <c r="M68" s="385">
        <f t="shared" ref="M68:M71" si="20">M62+25</f>
        <v>425</v>
      </c>
      <c r="N68" s="388" t="s">
        <v>520</v>
      </c>
      <c r="O68" s="388" t="s">
        <v>523</v>
      </c>
    </row>
    <row r="69" spans="1:15">
      <c r="A69" s="386" t="str">
        <f t="shared" ref="A69:A77" si="21">IF(AND($M$2&gt;L69,$M$2&lt;=M69),IF(AND($I$2&gt;=H69,$I$2&lt;I69),IF(E69=$K$2,J69,"-"),"-"),"-")</f>
        <v>-</v>
      </c>
      <c r="B69" s="386" t="str">
        <f t="shared" si="18"/>
        <v>-</v>
      </c>
      <c r="C69" s="386"/>
      <c r="D69" s="386">
        <v>66</v>
      </c>
      <c r="E69" s="386" t="s">
        <v>125</v>
      </c>
      <c r="F69" s="386" t="s">
        <v>126</v>
      </c>
      <c r="G69" s="386" t="s">
        <v>514</v>
      </c>
      <c r="H69" s="385">
        <v>2.9</v>
      </c>
      <c r="I69" s="385">
        <v>4</v>
      </c>
      <c r="J69" s="385">
        <v>2</v>
      </c>
      <c r="K69" s="389">
        <v>1</v>
      </c>
      <c r="L69" s="385">
        <f t="shared" si="19"/>
        <v>400</v>
      </c>
      <c r="M69" s="385">
        <f t="shared" si="20"/>
        <v>425</v>
      </c>
      <c r="N69" s="388" t="s">
        <v>520</v>
      </c>
      <c r="O69" s="388" t="s">
        <v>523</v>
      </c>
    </row>
    <row r="70" spans="1:15">
      <c r="A70" s="386" t="str">
        <f t="shared" si="21"/>
        <v>-</v>
      </c>
      <c r="B70" s="386" t="str">
        <f t="shared" si="18"/>
        <v>-</v>
      </c>
      <c r="C70" s="386"/>
      <c r="D70" s="386">
        <v>67</v>
      </c>
      <c r="E70" s="386" t="s">
        <v>125</v>
      </c>
      <c r="F70" s="386" t="s">
        <v>126</v>
      </c>
      <c r="G70" s="386" t="s">
        <v>514</v>
      </c>
      <c r="H70" s="385">
        <v>4</v>
      </c>
      <c r="I70" s="385">
        <v>5</v>
      </c>
      <c r="J70" s="385">
        <v>3</v>
      </c>
      <c r="K70" s="389">
        <v>1</v>
      </c>
      <c r="L70" s="385">
        <f t="shared" si="19"/>
        <v>400</v>
      </c>
      <c r="M70" s="385">
        <f t="shared" si="20"/>
        <v>425</v>
      </c>
      <c r="N70" s="388" t="s">
        <v>521</v>
      </c>
      <c r="O70" s="388" t="s">
        <v>524</v>
      </c>
    </row>
    <row r="71" spans="1:15">
      <c r="A71" s="386" t="str">
        <f t="shared" si="21"/>
        <v>-</v>
      </c>
      <c r="B71" s="386" t="str">
        <f t="shared" si="18"/>
        <v>-</v>
      </c>
      <c r="C71" s="386"/>
      <c r="D71" s="386">
        <v>68</v>
      </c>
      <c r="E71" s="386" t="s">
        <v>125</v>
      </c>
      <c r="F71" s="386" t="s">
        <v>126</v>
      </c>
      <c r="G71" s="386" t="s">
        <v>514</v>
      </c>
      <c r="H71" s="385">
        <v>5</v>
      </c>
      <c r="I71" s="385">
        <v>6.5</v>
      </c>
      <c r="J71" s="385">
        <v>2</v>
      </c>
      <c r="K71" s="389">
        <v>2</v>
      </c>
      <c r="L71" s="385">
        <f t="shared" si="19"/>
        <v>400</v>
      </c>
      <c r="M71" s="385">
        <f t="shared" si="20"/>
        <v>425</v>
      </c>
      <c r="N71" s="388" t="s">
        <v>520</v>
      </c>
      <c r="O71" s="388" t="s">
        <v>523</v>
      </c>
    </row>
    <row r="72" spans="1:15">
      <c r="A72" s="386" t="str">
        <f t="shared" si="21"/>
        <v>-</v>
      </c>
      <c r="B72" s="386" t="str">
        <f t="shared" si="18"/>
        <v>-</v>
      </c>
      <c r="C72" s="386"/>
      <c r="D72" s="386">
        <v>69</v>
      </c>
      <c r="E72" s="386" t="s">
        <v>9</v>
      </c>
      <c r="F72" s="386" t="s">
        <v>10</v>
      </c>
      <c r="G72" s="386" t="s">
        <v>510</v>
      </c>
      <c r="H72" s="385">
        <v>0.6</v>
      </c>
      <c r="I72" s="385">
        <v>1.7</v>
      </c>
      <c r="J72" s="385">
        <v>1</v>
      </c>
      <c r="K72" s="389">
        <v>1</v>
      </c>
      <c r="L72" s="385">
        <f>M66</f>
        <v>425</v>
      </c>
      <c r="M72" s="385">
        <f>M66+25</f>
        <v>450</v>
      </c>
      <c r="N72" s="388" t="s">
        <v>519</v>
      </c>
      <c r="O72" s="388" t="s">
        <v>522</v>
      </c>
    </row>
    <row r="73" spans="1:15">
      <c r="A73" s="386" t="str">
        <f t="shared" si="21"/>
        <v>-</v>
      </c>
      <c r="B73" s="386" t="str">
        <f t="shared" si="18"/>
        <v>-</v>
      </c>
      <c r="C73" s="386"/>
      <c r="D73" s="386">
        <v>70</v>
      </c>
      <c r="E73" s="386" t="s">
        <v>123</v>
      </c>
      <c r="F73" s="386" t="s">
        <v>124</v>
      </c>
      <c r="G73" s="386" t="s">
        <v>511</v>
      </c>
      <c r="H73" s="385">
        <v>1.4</v>
      </c>
      <c r="I73" s="385">
        <v>2.4</v>
      </c>
      <c r="J73" s="385">
        <v>1</v>
      </c>
      <c r="K73" s="389">
        <v>1</v>
      </c>
      <c r="L73" s="385">
        <f>M67</f>
        <v>425</v>
      </c>
      <c r="M73" s="385">
        <f>M67+25</f>
        <v>450</v>
      </c>
      <c r="N73" s="388" t="s">
        <v>519</v>
      </c>
      <c r="O73" s="388" t="s">
        <v>522</v>
      </c>
    </row>
    <row r="74" spans="1:15">
      <c r="A74" s="386" t="str">
        <f t="shared" si="21"/>
        <v>-</v>
      </c>
      <c r="B74" s="386" t="str">
        <f t="shared" si="18"/>
        <v>-</v>
      </c>
      <c r="C74" s="386"/>
      <c r="D74" s="386">
        <v>71</v>
      </c>
      <c r="E74" s="386" t="s">
        <v>123</v>
      </c>
      <c r="F74" s="386" t="s">
        <v>124</v>
      </c>
      <c r="G74" s="386" t="s">
        <v>511</v>
      </c>
      <c r="H74" s="385">
        <v>2.4</v>
      </c>
      <c r="I74" s="385">
        <v>3.2</v>
      </c>
      <c r="J74" s="385">
        <v>2</v>
      </c>
      <c r="K74" s="389">
        <v>1</v>
      </c>
      <c r="L74" s="385">
        <f t="shared" ref="L74:L77" si="22">M68</f>
        <v>425</v>
      </c>
      <c r="M74" s="385">
        <f t="shared" ref="M74:M77" si="23">M68+25</f>
        <v>450</v>
      </c>
      <c r="N74" s="388" t="s">
        <v>520</v>
      </c>
      <c r="O74" s="388" t="s">
        <v>523</v>
      </c>
    </row>
    <row r="75" spans="1:15">
      <c r="A75" s="386" t="str">
        <f t="shared" si="21"/>
        <v>-</v>
      </c>
      <c r="B75" s="386" t="str">
        <f t="shared" si="18"/>
        <v>-</v>
      </c>
      <c r="C75" s="386"/>
      <c r="D75" s="386">
        <v>72</v>
      </c>
      <c r="E75" s="386" t="s">
        <v>125</v>
      </c>
      <c r="F75" s="386" t="s">
        <v>126</v>
      </c>
      <c r="G75" s="386" t="s">
        <v>514</v>
      </c>
      <c r="H75" s="385">
        <v>2.7</v>
      </c>
      <c r="I75" s="385">
        <v>3.3</v>
      </c>
      <c r="J75" s="385">
        <v>2</v>
      </c>
      <c r="K75" s="389">
        <v>1</v>
      </c>
      <c r="L75" s="385">
        <f t="shared" si="22"/>
        <v>425</v>
      </c>
      <c r="M75" s="385">
        <f t="shared" si="23"/>
        <v>450</v>
      </c>
      <c r="N75" s="388" t="s">
        <v>520</v>
      </c>
      <c r="O75" s="388" t="s">
        <v>523</v>
      </c>
    </row>
    <row r="76" spans="1:15">
      <c r="A76" s="386" t="str">
        <f t="shared" si="21"/>
        <v>-</v>
      </c>
      <c r="B76" s="386" t="str">
        <f t="shared" si="18"/>
        <v>-</v>
      </c>
      <c r="C76" s="386"/>
      <c r="D76" s="386">
        <v>73</v>
      </c>
      <c r="E76" s="386" t="s">
        <v>125</v>
      </c>
      <c r="F76" s="386" t="s">
        <v>126</v>
      </c>
      <c r="G76" s="386" t="s">
        <v>514</v>
      </c>
      <c r="H76" s="385">
        <v>3.3</v>
      </c>
      <c r="I76" s="385">
        <v>5.0999999999999996</v>
      </c>
      <c r="J76" s="385">
        <v>3</v>
      </c>
      <c r="K76" s="389">
        <v>1</v>
      </c>
      <c r="L76" s="385">
        <f t="shared" si="22"/>
        <v>425</v>
      </c>
      <c r="M76" s="385">
        <f t="shared" si="23"/>
        <v>450</v>
      </c>
      <c r="N76" s="388" t="s">
        <v>521</v>
      </c>
      <c r="O76" s="388" t="s">
        <v>524</v>
      </c>
    </row>
    <row r="77" spans="1:15">
      <c r="A77" s="386" t="str">
        <f t="shared" si="21"/>
        <v>-</v>
      </c>
      <c r="B77" s="386" t="str">
        <f t="shared" si="18"/>
        <v>-</v>
      </c>
      <c r="C77" s="386"/>
      <c r="D77" s="386">
        <v>74</v>
      </c>
      <c r="E77" s="386" t="s">
        <v>125</v>
      </c>
      <c r="F77" s="386" t="s">
        <v>126</v>
      </c>
      <c r="G77" s="386" t="s">
        <v>514</v>
      </c>
      <c r="H77" s="385">
        <v>5.0999999999999996</v>
      </c>
      <c r="I77" s="385">
        <v>6.1</v>
      </c>
      <c r="J77" s="385">
        <v>2</v>
      </c>
      <c r="K77" s="389">
        <v>2</v>
      </c>
      <c r="L77" s="385">
        <f t="shared" si="22"/>
        <v>425</v>
      </c>
      <c r="M77" s="385">
        <f t="shared" si="23"/>
        <v>450</v>
      </c>
      <c r="N77" s="388" t="s">
        <v>520</v>
      </c>
      <c r="O77" s="388" t="s">
        <v>523</v>
      </c>
    </row>
    <row r="80" spans="1:15">
      <c r="G80" s="387" t="s">
        <v>538</v>
      </c>
      <c r="H80" s="131" t="s">
        <v>85</v>
      </c>
      <c r="I80" s="132">
        <f>FFP315Вес</f>
        <v>8.5473999999999997</v>
      </c>
      <c r="J80" s="387" t="s">
        <v>515</v>
      </c>
      <c r="K80" s="132" t="str">
        <f ca="1">FreeFlap!E47</f>
        <v>372.91.245</v>
      </c>
      <c r="L80" s="131" t="s">
        <v>141</v>
      </c>
      <c r="M80" s="132">
        <f>FFP315Высота</f>
        <v>650</v>
      </c>
      <c r="N80" s="387" t="s">
        <v>535</v>
      </c>
      <c r="O80" s="132" t="str">
        <f>FreeFlap!K42</f>
        <v>Врезной</v>
      </c>
    </row>
    <row r="81" spans="1:15">
      <c r="E81" s="385">
        <v>1</v>
      </c>
      <c r="F81" s="385">
        <v>2</v>
      </c>
      <c r="G81" s="386" t="s">
        <v>515</v>
      </c>
      <c r="H81" s="386" t="s">
        <v>86</v>
      </c>
      <c r="I81" s="386" t="s">
        <v>87</v>
      </c>
      <c r="J81" s="386" t="s">
        <v>516</v>
      </c>
      <c r="K81" s="386" t="s">
        <v>59</v>
      </c>
      <c r="L81" s="386" t="s">
        <v>86</v>
      </c>
      <c r="M81" s="386" t="s">
        <v>87</v>
      </c>
      <c r="N81" s="386" t="s">
        <v>531</v>
      </c>
      <c r="O81" s="386" t="s">
        <v>532</v>
      </c>
    </row>
    <row r="82" spans="1:15">
      <c r="A82" s="386" t="str">
        <f>IF(AND($M$80&gt;L82,$M$80&lt;=M82),IF(AND($I$80&gt;=H82,$I$80&lt;I82),IF(E82=$K$80,J82,"-"),"-"),"-")</f>
        <v>-</v>
      </c>
      <c r="B82" s="386" t="str">
        <f t="shared" ref="B82:B113" si="24">IF(A82&lt;&gt;"-",ABS((FFP315Вес-H82)/(I82-H82)*2-1),"-")</f>
        <v>-</v>
      </c>
      <c r="C82" s="386"/>
      <c r="D82" s="386">
        <v>1</v>
      </c>
      <c r="E82" s="386" t="s">
        <v>13</v>
      </c>
      <c r="F82" s="386" t="s">
        <v>14</v>
      </c>
      <c r="G82" s="290" t="s">
        <v>536</v>
      </c>
      <c r="H82">
        <v>5.2</v>
      </c>
      <c r="I82">
        <v>8.1</v>
      </c>
      <c r="J82">
        <v>2</v>
      </c>
      <c r="K82">
        <v>1</v>
      </c>
      <c r="L82">
        <v>0</v>
      </c>
      <c r="M82">
        <v>350</v>
      </c>
      <c r="N82" s="388" t="s">
        <v>520</v>
      </c>
      <c r="O82" s="388" t="s">
        <v>523</v>
      </c>
    </row>
    <row r="83" spans="1:15">
      <c r="A83" s="386" t="str">
        <f t="shared" ref="A83:A146" si="25">IF(AND($M$80&gt;L83,$M$80&lt;=M83),IF(AND($I$80&gt;=H83,$I$80&lt;I83),IF(E83=$K$80,J83,"-"),"-"),"-")</f>
        <v>-</v>
      </c>
      <c r="B83" s="386" t="str">
        <f t="shared" si="24"/>
        <v>-</v>
      </c>
      <c r="D83" s="386">
        <v>2</v>
      </c>
      <c r="E83" s="386" t="s">
        <v>13</v>
      </c>
      <c r="F83" s="386" t="s">
        <v>14</v>
      </c>
      <c r="G83" s="290" t="s">
        <v>536</v>
      </c>
      <c r="H83">
        <f>I82</f>
        <v>8.1</v>
      </c>
      <c r="I83">
        <v>11</v>
      </c>
      <c r="J83">
        <v>3</v>
      </c>
      <c r="K83">
        <v>1</v>
      </c>
      <c r="L83">
        <v>0</v>
      </c>
      <c r="M83">
        <v>350</v>
      </c>
      <c r="N83" s="388" t="s">
        <v>520</v>
      </c>
      <c r="O83" s="388" t="s">
        <v>523</v>
      </c>
    </row>
    <row r="84" spans="1:15">
      <c r="A84" s="386" t="str">
        <f t="shared" si="25"/>
        <v>-</v>
      </c>
      <c r="B84" s="386" t="str">
        <f t="shared" si="24"/>
        <v>-</v>
      </c>
      <c r="D84" s="386">
        <v>3</v>
      </c>
      <c r="E84" s="386" t="s">
        <v>135</v>
      </c>
      <c r="F84" s="386" t="s">
        <v>136</v>
      </c>
      <c r="G84" s="290" t="s">
        <v>387</v>
      </c>
      <c r="H84">
        <v>6.7</v>
      </c>
      <c r="I84">
        <v>11.8</v>
      </c>
      <c r="J84">
        <v>3</v>
      </c>
      <c r="K84">
        <v>1</v>
      </c>
      <c r="L84">
        <v>0</v>
      </c>
      <c r="M84">
        <v>350</v>
      </c>
      <c r="N84" s="388" t="s">
        <v>520</v>
      </c>
      <c r="O84" s="388" t="s">
        <v>523</v>
      </c>
    </row>
    <row r="85" spans="1:15">
      <c r="A85" s="386" t="str">
        <f t="shared" si="25"/>
        <v>-</v>
      </c>
      <c r="B85" s="386" t="str">
        <f t="shared" si="24"/>
        <v>-</v>
      </c>
      <c r="D85" s="386">
        <v>4</v>
      </c>
      <c r="E85" s="386" t="s">
        <v>135</v>
      </c>
      <c r="F85" s="386" t="s">
        <v>136</v>
      </c>
      <c r="G85" s="290" t="s">
        <v>387</v>
      </c>
      <c r="H85">
        <f>I84</f>
        <v>11.8</v>
      </c>
      <c r="I85">
        <v>14.3</v>
      </c>
      <c r="J85">
        <v>2</v>
      </c>
      <c r="K85">
        <v>2</v>
      </c>
      <c r="L85">
        <v>0</v>
      </c>
      <c r="M85">
        <v>350</v>
      </c>
      <c r="N85" s="388" t="s">
        <v>520</v>
      </c>
      <c r="O85" s="388" t="s">
        <v>523</v>
      </c>
    </row>
    <row r="86" spans="1:15">
      <c r="A86" s="386" t="str">
        <f t="shared" si="25"/>
        <v>-</v>
      </c>
      <c r="B86" s="386" t="str">
        <f t="shared" si="24"/>
        <v>-</v>
      </c>
      <c r="D86" s="386">
        <v>5</v>
      </c>
      <c r="E86" s="386" t="s">
        <v>135</v>
      </c>
      <c r="F86" s="386" t="s">
        <v>136</v>
      </c>
      <c r="G86" s="290" t="s">
        <v>388</v>
      </c>
      <c r="H86">
        <v>10.1</v>
      </c>
      <c r="I86">
        <v>17.899999999999999</v>
      </c>
      <c r="J86">
        <v>2</v>
      </c>
      <c r="K86">
        <v>2</v>
      </c>
      <c r="L86">
        <v>0</v>
      </c>
      <c r="M86">
        <v>350</v>
      </c>
      <c r="N86" s="388" t="s">
        <v>520</v>
      </c>
      <c r="O86" s="388" t="s">
        <v>523</v>
      </c>
    </row>
    <row r="87" spans="1:15">
      <c r="A87" s="386" t="str">
        <f t="shared" si="25"/>
        <v>-</v>
      </c>
      <c r="B87" s="386" t="str">
        <f t="shared" si="24"/>
        <v>-</v>
      </c>
      <c r="D87" s="386">
        <v>6</v>
      </c>
      <c r="E87" s="386" t="s">
        <v>135</v>
      </c>
      <c r="F87" s="386" t="s">
        <v>136</v>
      </c>
      <c r="G87" s="290" t="s">
        <v>388</v>
      </c>
      <c r="H87">
        <f>I86</f>
        <v>17.899999999999999</v>
      </c>
      <c r="I87">
        <v>21.4</v>
      </c>
      <c r="J87">
        <v>3</v>
      </c>
      <c r="K87">
        <v>2</v>
      </c>
      <c r="L87">
        <v>0</v>
      </c>
      <c r="M87">
        <v>350</v>
      </c>
      <c r="N87" s="388" t="s">
        <v>520</v>
      </c>
      <c r="O87" s="388" t="s">
        <v>523</v>
      </c>
    </row>
    <row r="88" spans="1:15">
      <c r="A88" s="386" t="str">
        <f t="shared" si="25"/>
        <v>-</v>
      </c>
      <c r="B88" s="386" t="str">
        <f t="shared" si="24"/>
        <v>-</v>
      </c>
      <c r="D88" s="386">
        <v>7</v>
      </c>
      <c r="E88" s="386" t="s">
        <v>138</v>
      </c>
      <c r="F88" s="386" t="s">
        <v>139</v>
      </c>
      <c r="G88" s="290" t="s">
        <v>389</v>
      </c>
      <c r="H88">
        <v>13.5</v>
      </c>
      <c r="I88">
        <v>18.100000000000001</v>
      </c>
      <c r="J88">
        <v>2</v>
      </c>
      <c r="K88">
        <v>2</v>
      </c>
      <c r="L88">
        <v>0</v>
      </c>
      <c r="M88">
        <v>350</v>
      </c>
      <c r="N88" s="388" t="s">
        <v>520</v>
      </c>
      <c r="O88" s="388" t="s">
        <v>523</v>
      </c>
    </row>
    <row r="89" spans="1:15">
      <c r="A89" s="386" t="str">
        <f t="shared" si="25"/>
        <v>-</v>
      </c>
      <c r="B89" s="386" t="str">
        <f t="shared" si="24"/>
        <v>-</v>
      </c>
      <c r="D89" s="386">
        <v>8</v>
      </c>
      <c r="E89" s="386" t="s">
        <v>138</v>
      </c>
      <c r="F89" s="386" t="s">
        <v>139</v>
      </c>
      <c r="G89" s="290" t="s">
        <v>389</v>
      </c>
      <c r="H89">
        <f>I88</f>
        <v>18.100000000000001</v>
      </c>
      <c r="I89">
        <v>27.3</v>
      </c>
      <c r="J89">
        <v>3</v>
      </c>
      <c r="K89">
        <v>2</v>
      </c>
      <c r="L89">
        <v>0</v>
      </c>
      <c r="M89">
        <v>350</v>
      </c>
      <c r="N89" s="388" t="s">
        <v>520</v>
      </c>
      <c r="O89" s="388" t="s">
        <v>523</v>
      </c>
    </row>
    <row r="90" spans="1:15">
      <c r="A90" s="386" t="str">
        <f t="shared" si="25"/>
        <v>-</v>
      </c>
      <c r="B90" s="386" t="str">
        <f t="shared" si="24"/>
        <v>-</v>
      </c>
      <c r="D90" s="386">
        <v>9</v>
      </c>
      <c r="E90" s="386" t="s">
        <v>13</v>
      </c>
      <c r="F90" s="386" t="s">
        <v>14</v>
      </c>
      <c r="G90" s="290" t="s">
        <v>536</v>
      </c>
      <c r="H90">
        <v>4.7</v>
      </c>
      <c r="I90">
        <v>9</v>
      </c>
      <c r="J90">
        <v>2</v>
      </c>
      <c r="K90">
        <v>1</v>
      </c>
      <c r="L90">
        <f>M90-50</f>
        <v>350</v>
      </c>
      <c r="M90">
        <v>400</v>
      </c>
      <c r="N90" s="388" t="s">
        <v>520</v>
      </c>
      <c r="O90" s="388" t="s">
        <v>523</v>
      </c>
    </row>
    <row r="91" spans="1:15">
      <c r="A91" s="386" t="str">
        <f t="shared" si="25"/>
        <v>-</v>
      </c>
      <c r="B91" s="386" t="str">
        <f t="shared" si="24"/>
        <v>-</v>
      </c>
      <c r="D91" s="386">
        <v>10</v>
      </c>
      <c r="E91" s="386" t="s">
        <v>13</v>
      </c>
      <c r="F91" s="386" t="s">
        <v>14</v>
      </c>
      <c r="G91" s="290" t="s">
        <v>536</v>
      </c>
      <c r="H91">
        <v>9</v>
      </c>
      <c r="I91">
        <v>9.6</v>
      </c>
      <c r="J91">
        <v>3</v>
      </c>
      <c r="K91">
        <v>1</v>
      </c>
      <c r="L91">
        <f>M91-50</f>
        <v>350</v>
      </c>
      <c r="M91">
        <v>400</v>
      </c>
      <c r="N91" s="388" t="s">
        <v>520</v>
      </c>
      <c r="O91" s="388" t="s">
        <v>523</v>
      </c>
    </row>
    <row r="92" spans="1:15">
      <c r="A92" s="386" t="str">
        <f t="shared" si="25"/>
        <v>-</v>
      </c>
      <c r="B92" s="386" t="str">
        <f t="shared" si="24"/>
        <v>-</v>
      </c>
      <c r="D92" s="386">
        <v>11</v>
      </c>
      <c r="E92" s="386" t="s">
        <v>135</v>
      </c>
      <c r="F92" s="386" t="s">
        <v>136</v>
      </c>
      <c r="G92" s="290" t="s">
        <v>387</v>
      </c>
      <c r="H92">
        <v>5.9</v>
      </c>
      <c r="I92">
        <v>7.9</v>
      </c>
      <c r="J92">
        <v>2</v>
      </c>
      <c r="K92">
        <v>1</v>
      </c>
      <c r="L92">
        <f t="shared" ref="L92:L147" si="26">M92-50</f>
        <v>350</v>
      </c>
      <c r="M92">
        <v>400</v>
      </c>
      <c r="N92" s="388" t="s">
        <v>520</v>
      </c>
      <c r="O92" s="388" t="s">
        <v>523</v>
      </c>
    </row>
    <row r="93" spans="1:15">
      <c r="A93" s="386" t="str">
        <f t="shared" si="25"/>
        <v>-</v>
      </c>
      <c r="B93" s="386" t="str">
        <f t="shared" si="24"/>
        <v>-</v>
      </c>
      <c r="D93" s="386">
        <v>12</v>
      </c>
      <c r="E93" s="386" t="s">
        <v>135</v>
      </c>
      <c r="F93" s="386" t="s">
        <v>136</v>
      </c>
      <c r="G93" s="290" t="s">
        <v>387</v>
      </c>
      <c r="H93">
        <v>7.9</v>
      </c>
      <c r="I93">
        <v>11.6</v>
      </c>
      <c r="J93">
        <v>3</v>
      </c>
      <c r="K93">
        <v>1</v>
      </c>
      <c r="L93">
        <f t="shared" si="26"/>
        <v>350</v>
      </c>
      <c r="M93">
        <v>400</v>
      </c>
      <c r="N93" s="388" t="s">
        <v>520</v>
      </c>
      <c r="O93" s="388" t="s">
        <v>523</v>
      </c>
    </row>
    <row r="94" spans="1:15">
      <c r="A94" s="386" t="str">
        <f t="shared" si="25"/>
        <v>-</v>
      </c>
      <c r="B94" s="386" t="str">
        <f t="shared" si="24"/>
        <v>-</v>
      </c>
      <c r="D94" s="386">
        <v>13</v>
      </c>
      <c r="E94" s="386" t="s">
        <v>135</v>
      </c>
      <c r="F94" s="386" t="s">
        <v>136</v>
      </c>
      <c r="G94" s="290" t="s">
        <v>387</v>
      </c>
      <c r="H94">
        <f>I93</f>
        <v>11.6</v>
      </c>
      <c r="I94">
        <v>12.4</v>
      </c>
      <c r="J94">
        <v>2</v>
      </c>
      <c r="K94">
        <v>2</v>
      </c>
      <c r="L94">
        <f t="shared" si="26"/>
        <v>350</v>
      </c>
      <c r="M94">
        <v>400</v>
      </c>
      <c r="N94" s="388" t="s">
        <v>520</v>
      </c>
      <c r="O94" s="388" t="s">
        <v>523</v>
      </c>
    </row>
    <row r="95" spans="1:15">
      <c r="A95" s="386" t="str">
        <f t="shared" si="25"/>
        <v>-</v>
      </c>
      <c r="B95" s="386" t="str">
        <f t="shared" si="24"/>
        <v>-</v>
      </c>
      <c r="D95" s="386">
        <v>14</v>
      </c>
      <c r="E95" s="386" t="s">
        <v>135</v>
      </c>
      <c r="F95" s="386" t="s">
        <v>136</v>
      </c>
      <c r="G95" s="290" t="s">
        <v>388</v>
      </c>
      <c r="H95">
        <v>8.9</v>
      </c>
      <c r="I95">
        <v>10.7</v>
      </c>
      <c r="J95">
        <v>3</v>
      </c>
      <c r="K95">
        <v>1</v>
      </c>
      <c r="L95">
        <f t="shared" si="26"/>
        <v>350</v>
      </c>
      <c r="M95">
        <v>400</v>
      </c>
      <c r="N95" s="388" t="s">
        <v>520</v>
      </c>
      <c r="O95" s="388" t="s">
        <v>523</v>
      </c>
    </row>
    <row r="96" spans="1:15">
      <c r="A96" s="386" t="str">
        <f t="shared" si="25"/>
        <v>-</v>
      </c>
      <c r="B96" s="386" t="str">
        <f t="shared" si="24"/>
        <v>-</v>
      </c>
      <c r="D96" s="386">
        <v>15</v>
      </c>
      <c r="E96" s="386" t="s">
        <v>135</v>
      </c>
      <c r="F96" s="386" t="s">
        <v>136</v>
      </c>
      <c r="G96" s="290" t="s">
        <v>388</v>
      </c>
      <c r="H96">
        <f>I95</f>
        <v>10.7</v>
      </c>
      <c r="I96">
        <v>17.2</v>
      </c>
      <c r="J96">
        <v>2</v>
      </c>
      <c r="K96">
        <v>2</v>
      </c>
      <c r="L96">
        <f t="shared" si="26"/>
        <v>350</v>
      </c>
      <c r="M96">
        <v>400</v>
      </c>
      <c r="N96" s="388" t="s">
        <v>520</v>
      </c>
      <c r="O96" s="388" t="s">
        <v>523</v>
      </c>
    </row>
    <row r="97" spans="1:15">
      <c r="A97" s="386" t="str">
        <f t="shared" si="25"/>
        <v>-</v>
      </c>
      <c r="B97" s="386" t="str">
        <f t="shared" si="24"/>
        <v>-</v>
      </c>
      <c r="D97" s="386">
        <v>16</v>
      </c>
      <c r="E97" s="386" t="s">
        <v>135</v>
      </c>
      <c r="F97" s="386" t="s">
        <v>136</v>
      </c>
      <c r="G97" s="290" t="s">
        <v>388</v>
      </c>
      <c r="H97">
        <f>I96</f>
        <v>17.2</v>
      </c>
      <c r="I97">
        <v>18.600000000000001</v>
      </c>
      <c r="J97">
        <v>3</v>
      </c>
      <c r="K97">
        <v>2</v>
      </c>
      <c r="L97">
        <f t="shared" si="26"/>
        <v>350</v>
      </c>
      <c r="M97">
        <v>400</v>
      </c>
      <c r="N97" s="388" t="s">
        <v>520</v>
      </c>
      <c r="O97" s="388" t="s">
        <v>523</v>
      </c>
    </row>
    <row r="98" spans="1:15">
      <c r="A98" s="386" t="str">
        <f t="shared" si="25"/>
        <v>-</v>
      </c>
      <c r="B98" s="386" t="str">
        <f t="shared" si="24"/>
        <v>-</v>
      </c>
      <c r="D98" s="386">
        <v>17</v>
      </c>
      <c r="E98" s="386" t="s">
        <v>138</v>
      </c>
      <c r="F98" s="386" t="s">
        <v>139</v>
      </c>
      <c r="G98" s="290" t="s">
        <v>389</v>
      </c>
      <c r="H98">
        <v>11.8</v>
      </c>
      <c r="I98">
        <v>12.3</v>
      </c>
      <c r="J98">
        <v>3</v>
      </c>
      <c r="K98">
        <v>1</v>
      </c>
      <c r="L98">
        <f t="shared" si="26"/>
        <v>350</v>
      </c>
      <c r="M98">
        <v>400</v>
      </c>
      <c r="N98" s="388" t="s">
        <v>520</v>
      </c>
      <c r="O98" s="388" t="s">
        <v>523</v>
      </c>
    </row>
    <row r="99" spans="1:15">
      <c r="A99" s="386" t="str">
        <f t="shared" si="25"/>
        <v>-</v>
      </c>
      <c r="B99" s="386" t="str">
        <f t="shared" si="24"/>
        <v>-</v>
      </c>
      <c r="D99" s="386">
        <v>18</v>
      </c>
      <c r="E99" s="386" t="s">
        <v>138</v>
      </c>
      <c r="F99" s="386" t="s">
        <v>139</v>
      </c>
      <c r="G99" s="290" t="s">
        <v>389</v>
      </c>
      <c r="H99">
        <f>I98</f>
        <v>12.3</v>
      </c>
      <c r="I99">
        <v>17.899999999999999</v>
      </c>
      <c r="J99">
        <v>2</v>
      </c>
      <c r="K99">
        <v>2</v>
      </c>
      <c r="L99">
        <f t="shared" si="26"/>
        <v>350</v>
      </c>
      <c r="M99">
        <v>400</v>
      </c>
      <c r="N99" s="388" t="s">
        <v>520</v>
      </c>
      <c r="O99" s="388" t="s">
        <v>523</v>
      </c>
    </row>
    <row r="100" spans="1:15">
      <c r="A100" s="386" t="str">
        <f t="shared" si="25"/>
        <v>-</v>
      </c>
      <c r="B100" s="386" t="str">
        <f t="shared" si="24"/>
        <v>-</v>
      </c>
      <c r="D100" s="386">
        <v>19</v>
      </c>
      <c r="E100" s="386" t="s">
        <v>138</v>
      </c>
      <c r="F100" s="386" t="s">
        <v>139</v>
      </c>
      <c r="G100" s="290" t="s">
        <v>389</v>
      </c>
      <c r="H100">
        <f>I99</f>
        <v>17.899999999999999</v>
      </c>
      <c r="I100">
        <v>23.3</v>
      </c>
      <c r="J100">
        <v>3</v>
      </c>
      <c r="K100">
        <v>2</v>
      </c>
      <c r="L100">
        <f t="shared" si="26"/>
        <v>350</v>
      </c>
      <c r="M100">
        <v>400</v>
      </c>
      <c r="N100" s="388" t="s">
        <v>520</v>
      </c>
      <c r="O100" s="388" t="s">
        <v>523</v>
      </c>
    </row>
    <row r="101" spans="1:15">
      <c r="A101" s="386" t="str">
        <f t="shared" si="25"/>
        <v>-</v>
      </c>
      <c r="B101" s="386" t="str">
        <f t="shared" si="24"/>
        <v>-</v>
      </c>
      <c r="D101" s="386">
        <v>20</v>
      </c>
      <c r="E101" s="386" t="s">
        <v>13</v>
      </c>
      <c r="F101" s="386" t="s">
        <v>14</v>
      </c>
      <c r="G101" s="290" t="s">
        <v>536</v>
      </c>
      <c r="H101">
        <v>4.0999999999999996</v>
      </c>
      <c r="I101">
        <v>5</v>
      </c>
      <c r="J101">
        <v>1</v>
      </c>
      <c r="K101">
        <v>1</v>
      </c>
      <c r="L101">
        <f t="shared" si="26"/>
        <v>400</v>
      </c>
      <c r="M101">
        <v>450</v>
      </c>
      <c r="N101" s="388" t="s">
        <v>520</v>
      </c>
      <c r="O101" s="388" t="s">
        <v>523</v>
      </c>
    </row>
    <row r="102" spans="1:15">
      <c r="A102" s="386" t="str">
        <f t="shared" si="25"/>
        <v>-</v>
      </c>
      <c r="B102" s="386" t="str">
        <f t="shared" si="24"/>
        <v>-</v>
      </c>
      <c r="D102" s="386">
        <v>21</v>
      </c>
      <c r="E102" s="386" t="s">
        <v>13</v>
      </c>
      <c r="F102" s="386" t="s">
        <v>14</v>
      </c>
      <c r="G102" s="290" t="s">
        <v>536</v>
      </c>
      <c r="H102">
        <f>I101</f>
        <v>5</v>
      </c>
      <c r="I102">
        <v>8.4</v>
      </c>
      <c r="J102">
        <v>2</v>
      </c>
      <c r="K102">
        <v>1</v>
      </c>
      <c r="L102">
        <f t="shared" si="26"/>
        <v>400</v>
      </c>
      <c r="M102">
        <v>450</v>
      </c>
      <c r="N102" s="388" t="s">
        <v>520</v>
      </c>
      <c r="O102" s="388" t="s">
        <v>523</v>
      </c>
    </row>
    <row r="103" spans="1:15">
      <c r="A103" s="386" t="str">
        <f t="shared" si="25"/>
        <v>-</v>
      </c>
      <c r="B103" s="386" t="str">
        <f t="shared" si="24"/>
        <v>-</v>
      </c>
      <c r="D103" s="386">
        <v>22</v>
      </c>
      <c r="E103" s="386" t="s">
        <v>135</v>
      </c>
      <c r="F103" s="386" t="s">
        <v>136</v>
      </c>
      <c r="G103" s="290" t="s">
        <v>387</v>
      </c>
      <c r="H103">
        <v>5.2</v>
      </c>
      <c r="I103">
        <v>7.9</v>
      </c>
      <c r="J103">
        <v>2</v>
      </c>
      <c r="K103">
        <v>1</v>
      </c>
      <c r="L103">
        <f t="shared" si="26"/>
        <v>400</v>
      </c>
      <c r="M103">
        <v>450</v>
      </c>
      <c r="N103" s="388" t="s">
        <v>520</v>
      </c>
      <c r="O103" s="388" t="s">
        <v>523</v>
      </c>
    </row>
    <row r="104" spans="1:15">
      <c r="A104" s="386" t="str">
        <f t="shared" si="25"/>
        <v>-</v>
      </c>
      <c r="B104" s="386" t="str">
        <f t="shared" si="24"/>
        <v>-</v>
      </c>
      <c r="D104" s="386">
        <v>23</v>
      </c>
      <c r="E104" s="386" t="s">
        <v>135</v>
      </c>
      <c r="F104" s="386" t="s">
        <v>136</v>
      </c>
      <c r="G104" s="290" t="s">
        <v>387</v>
      </c>
      <c r="H104">
        <v>7.9</v>
      </c>
      <c r="I104">
        <v>10.9</v>
      </c>
      <c r="J104">
        <v>3</v>
      </c>
      <c r="K104">
        <v>1</v>
      </c>
      <c r="L104">
        <f t="shared" si="26"/>
        <v>400</v>
      </c>
      <c r="M104">
        <v>450</v>
      </c>
      <c r="N104" s="388" t="s">
        <v>520</v>
      </c>
      <c r="O104" s="388" t="s">
        <v>523</v>
      </c>
    </row>
    <row r="105" spans="1:15">
      <c r="A105" s="386" t="str">
        <f t="shared" si="25"/>
        <v>-</v>
      </c>
      <c r="B105" s="386" t="str">
        <f t="shared" si="24"/>
        <v>-</v>
      </c>
      <c r="D105" s="386">
        <v>24</v>
      </c>
      <c r="E105" s="386" t="s">
        <v>135</v>
      </c>
      <c r="F105" s="386" t="s">
        <v>136</v>
      </c>
      <c r="G105" s="290" t="s">
        <v>388</v>
      </c>
      <c r="H105">
        <v>7.8</v>
      </c>
      <c r="I105">
        <v>10.199999999999999</v>
      </c>
      <c r="J105">
        <v>3</v>
      </c>
      <c r="K105">
        <v>1</v>
      </c>
      <c r="L105">
        <f t="shared" si="26"/>
        <v>400</v>
      </c>
      <c r="M105">
        <v>450</v>
      </c>
      <c r="N105" s="388" t="s">
        <v>520</v>
      </c>
      <c r="O105" s="388" t="s">
        <v>523</v>
      </c>
    </row>
    <row r="106" spans="1:15">
      <c r="A106" s="386" t="str">
        <f t="shared" si="25"/>
        <v>-</v>
      </c>
      <c r="B106" s="386" t="str">
        <f t="shared" si="24"/>
        <v>-</v>
      </c>
      <c r="D106" s="386">
        <v>25</v>
      </c>
      <c r="E106" s="386" t="s">
        <v>135</v>
      </c>
      <c r="F106" s="386" t="s">
        <v>136</v>
      </c>
      <c r="G106" s="290" t="s">
        <v>388</v>
      </c>
      <c r="H106">
        <v>10.199999999999999</v>
      </c>
      <c r="I106">
        <v>16.3</v>
      </c>
      <c r="J106">
        <v>2</v>
      </c>
      <c r="K106">
        <v>2</v>
      </c>
      <c r="L106">
        <f t="shared" si="26"/>
        <v>400</v>
      </c>
      <c r="M106">
        <v>450</v>
      </c>
      <c r="N106" s="388" t="s">
        <v>520</v>
      </c>
      <c r="O106" s="388" t="s">
        <v>523</v>
      </c>
    </row>
    <row r="107" spans="1:15">
      <c r="A107" s="386" t="str">
        <f t="shared" si="25"/>
        <v>-</v>
      </c>
      <c r="B107" s="386" t="str">
        <f t="shared" si="24"/>
        <v>-</v>
      </c>
      <c r="D107" s="386">
        <v>26</v>
      </c>
      <c r="E107" s="386" t="s">
        <v>138</v>
      </c>
      <c r="F107" s="386" t="s">
        <v>139</v>
      </c>
      <c r="G107" s="290" t="s">
        <v>389</v>
      </c>
      <c r="H107">
        <v>10.4</v>
      </c>
      <c r="I107">
        <v>10.8</v>
      </c>
      <c r="J107">
        <v>3</v>
      </c>
      <c r="K107">
        <v>1</v>
      </c>
      <c r="L107">
        <f t="shared" si="26"/>
        <v>400</v>
      </c>
      <c r="M107">
        <v>450</v>
      </c>
      <c r="N107" s="388" t="s">
        <v>520</v>
      </c>
      <c r="O107" s="388" t="s">
        <v>523</v>
      </c>
    </row>
    <row r="108" spans="1:15">
      <c r="A108" s="386" t="str">
        <f t="shared" si="25"/>
        <v>-</v>
      </c>
      <c r="B108" s="386" t="str">
        <f t="shared" si="24"/>
        <v>-</v>
      </c>
      <c r="D108" s="386">
        <v>27</v>
      </c>
      <c r="E108" s="386" t="s">
        <v>138</v>
      </c>
      <c r="F108" s="386" t="s">
        <v>139</v>
      </c>
      <c r="G108" s="290" t="s">
        <v>389</v>
      </c>
      <c r="H108">
        <f>I107</f>
        <v>10.8</v>
      </c>
      <c r="I108">
        <v>16.7</v>
      </c>
      <c r="J108">
        <v>2</v>
      </c>
      <c r="K108">
        <v>2</v>
      </c>
      <c r="L108">
        <f t="shared" si="26"/>
        <v>400</v>
      </c>
      <c r="M108">
        <v>450</v>
      </c>
      <c r="N108" s="388" t="s">
        <v>520</v>
      </c>
      <c r="O108" s="388" t="s">
        <v>523</v>
      </c>
    </row>
    <row r="109" spans="1:15">
      <c r="A109" s="386" t="str">
        <f t="shared" si="25"/>
        <v>-</v>
      </c>
      <c r="B109" s="386" t="str">
        <f t="shared" si="24"/>
        <v>-</v>
      </c>
      <c r="D109" s="386">
        <v>28</v>
      </c>
      <c r="E109" s="386" t="s">
        <v>138</v>
      </c>
      <c r="F109" s="386" t="s">
        <v>139</v>
      </c>
      <c r="G109" s="290" t="s">
        <v>389</v>
      </c>
      <c r="H109">
        <v>16.7</v>
      </c>
      <c r="I109">
        <v>20.5</v>
      </c>
      <c r="J109">
        <v>3</v>
      </c>
      <c r="K109">
        <v>2</v>
      </c>
      <c r="L109">
        <f t="shared" si="26"/>
        <v>400</v>
      </c>
      <c r="M109">
        <v>450</v>
      </c>
      <c r="N109" s="388" t="s">
        <v>520</v>
      </c>
      <c r="O109" s="388" t="s">
        <v>523</v>
      </c>
    </row>
    <row r="110" spans="1:15">
      <c r="A110" s="386" t="str">
        <f t="shared" si="25"/>
        <v>-</v>
      </c>
      <c r="B110" s="386" t="str">
        <f t="shared" si="24"/>
        <v>-</v>
      </c>
      <c r="D110" s="386">
        <v>29</v>
      </c>
      <c r="E110" s="386" t="s">
        <v>13</v>
      </c>
      <c r="F110" s="386" t="s">
        <v>14</v>
      </c>
      <c r="G110" s="290" t="s">
        <v>536</v>
      </c>
      <c r="H110">
        <v>3.7</v>
      </c>
      <c r="I110">
        <v>4.9000000000000004</v>
      </c>
      <c r="J110">
        <v>1</v>
      </c>
      <c r="K110">
        <v>1</v>
      </c>
      <c r="L110">
        <f t="shared" si="26"/>
        <v>450</v>
      </c>
      <c r="M110">
        <v>500</v>
      </c>
      <c r="N110" s="388" t="s">
        <v>520</v>
      </c>
      <c r="O110" s="388" t="s">
        <v>523</v>
      </c>
    </row>
    <row r="111" spans="1:15">
      <c r="A111" s="386" t="str">
        <f t="shared" si="25"/>
        <v>-</v>
      </c>
      <c r="B111" s="386" t="str">
        <f t="shared" si="24"/>
        <v>-</v>
      </c>
      <c r="D111" s="386">
        <v>30</v>
      </c>
      <c r="E111" s="386" t="s">
        <v>13</v>
      </c>
      <c r="F111" s="386" t="s">
        <v>14</v>
      </c>
      <c r="G111" s="290" t="s">
        <v>536</v>
      </c>
      <c r="H111">
        <f>I110</f>
        <v>4.9000000000000004</v>
      </c>
      <c r="I111">
        <v>7.5</v>
      </c>
      <c r="J111">
        <v>2</v>
      </c>
      <c r="K111">
        <v>1</v>
      </c>
      <c r="L111">
        <f t="shared" si="26"/>
        <v>450</v>
      </c>
      <c r="M111">
        <v>500</v>
      </c>
      <c r="N111" s="388" t="s">
        <v>520</v>
      </c>
      <c r="O111" s="388" t="s">
        <v>523</v>
      </c>
    </row>
    <row r="112" spans="1:15">
      <c r="A112" s="386" t="str">
        <f t="shared" si="25"/>
        <v>-</v>
      </c>
      <c r="B112" s="386" t="str">
        <f t="shared" si="24"/>
        <v>-</v>
      </c>
      <c r="D112" s="386">
        <v>31</v>
      </c>
      <c r="E112" s="386" t="s">
        <v>135</v>
      </c>
      <c r="F112" s="386" t="s">
        <v>136</v>
      </c>
      <c r="G112" s="290" t="s">
        <v>387</v>
      </c>
      <c r="H112">
        <v>4.7</v>
      </c>
      <c r="I112">
        <v>7.8</v>
      </c>
      <c r="J112">
        <v>2</v>
      </c>
      <c r="K112">
        <v>1</v>
      </c>
      <c r="L112">
        <f t="shared" si="26"/>
        <v>450</v>
      </c>
      <c r="M112">
        <v>500</v>
      </c>
      <c r="N112" s="388" t="s">
        <v>520</v>
      </c>
      <c r="O112" s="388" t="s">
        <v>523</v>
      </c>
    </row>
    <row r="113" spans="1:15">
      <c r="A113" s="386" t="str">
        <f t="shared" si="25"/>
        <v>-</v>
      </c>
      <c r="B113" s="386" t="str">
        <f t="shared" si="24"/>
        <v>-</v>
      </c>
      <c r="D113" s="386">
        <v>32</v>
      </c>
      <c r="E113" s="386" t="s">
        <v>135</v>
      </c>
      <c r="F113" s="386" t="s">
        <v>136</v>
      </c>
      <c r="G113" s="290" t="s">
        <v>387</v>
      </c>
      <c r="H113">
        <v>7.8</v>
      </c>
      <c r="I113">
        <v>9.6999999999999993</v>
      </c>
      <c r="J113">
        <v>3</v>
      </c>
      <c r="K113">
        <v>1</v>
      </c>
      <c r="L113">
        <f t="shared" si="26"/>
        <v>450</v>
      </c>
      <c r="M113">
        <v>500</v>
      </c>
      <c r="N113" s="388" t="s">
        <v>520</v>
      </c>
      <c r="O113" s="388" t="s">
        <v>523</v>
      </c>
    </row>
    <row r="114" spans="1:15">
      <c r="A114" s="386" t="str">
        <f t="shared" si="25"/>
        <v>-</v>
      </c>
      <c r="B114" s="386" t="str">
        <f t="shared" ref="B114:B145" si="27">IF(A114&lt;&gt;"-",ABS((FFP315Вес-H114)/(I114-H114)*2-1),"-")</f>
        <v>-</v>
      </c>
      <c r="D114" s="386">
        <v>33</v>
      </c>
      <c r="E114" s="386" t="s">
        <v>135</v>
      </c>
      <c r="F114" s="386" t="s">
        <v>136</v>
      </c>
      <c r="G114" s="290" t="s">
        <v>388</v>
      </c>
      <c r="H114">
        <v>7</v>
      </c>
      <c r="I114">
        <v>10</v>
      </c>
      <c r="J114">
        <v>3</v>
      </c>
      <c r="K114">
        <v>1</v>
      </c>
      <c r="L114">
        <f t="shared" si="26"/>
        <v>450</v>
      </c>
      <c r="M114">
        <v>500</v>
      </c>
      <c r="N114" s="388" t="s">
        <v>520</v>
      </c>
      <c r="O114" s="388" t="s">
        <v>523</v>
      </c>
    </row>
    <row r="115" spans="1:15">
      <c r="A115" s="386" t="str">
        <f t="shared" si="25"/>
        <v>-</v>
      </c>
      <c r="B115" s="386" t="str">
        <f t="shared" si="27"/>
        <v>-</v>
      </c>
      <c r="D115" s="386">
        <v>34</v>
      </c>
      <c r="E115" s="386" t="s">
        <v>135</v>
      </c>
      <c r="F115" s="386" t="s">
        <v>136</v>
      </c>
      <c r="G115" s="290" t="s">
        <v>388</v>
      </c>
      <c r="H115">
        <f>I114</f>
        <v>10</v>
      </c>
      <c r="I115">
        <v>14.6</v>
      </c>
      <c r="J115">
        <v>2</v>
      </c>
      <c r="K115">
        <v>2</v>
      </c>
      <c r="L115">
        <f t="shared" si="26"/>
        <v>450</v>
      </c>
      <c r="M115">
        <v>500</v>
      </c>
      <c r="N115" s="388" t="s">
        <v>520</v>
      </c>
      <c r="O115" s="388" t="s">
        <v>523</v>
      </c>
    </row>
    <row r="116" spans="1:15">
      <c r="A116" s="386" t="str">
        <f t="shared" si="25"/>
        <v>-</v>
      </c>
      <c r="B116" s="386" t="str">
        <f t="shared" si="27"/>
        <v>-</v>
      </c>
      <c r="D116" s="386">
        <v>35</v>
      </c>
      <c r="E116" s="386" t="s">
        <v>138</v>
      </c>
      <c r="F116" s="386" t="s">
        <v>139</v>
      </c>
      <c r="G116" s="290" t="s">
        <v>389</v>
      </c>
      <c r="H116">
        <v>9.1999999999999993</v>
      </c>
      <c r="I116">
        <v>10.7</v>
      </c>
      <c r="J116">
        <v>3</v>
      </c>
      <c r="K116">
        <v>1</v>
      </c>
      <c r="L116">
        <f t="shared" si="26"/>
        <v>450</v>
      </c>
      <c r="M116">
        <v>500</v>
      </c>
      <c r="N116" s="388" t="s">
        <v>520</v>
      </c>
      <c r="O116" s="388" t="s">
        <v>523</v>
      </c>
    </row>
    <row r="117" spans="1:15">
      <c r="A117" s="386" t="str">
        <f t="shared" si="25"/>
        <v>-</v>
      </c>
      <c r="B117" s="386" t="str">
        <f t="shared" si="27"/>
        <v>-</v>
      </c>
      <c r="D117" s="386">
        <v>36</v>
      </c>
      <c r="E117" s="386" t="s">
        <v>138</v>
      </c>
      <c r="F117" s="386" t="s">
        <v>139</v>
      </c>
      <c r="G117" s="290" t="s">
        <v>389</v>
      </c>
      <c r="H117">
        <f>I116</f>
        <v>10.7</v>
      </c>
      <c r="I117">
        <v>16</v>
      </c>
      <c r="J117">
        <v>2</v>
      </c>
      <c r="K117">
        <v>2</v>
      </c>
      <c r="L117">
        <f t="shared" si="26"/>
        <v>450</v>
      </c>
      <c r="M117">
        <v>500</v>
      </c>
      <c r="N117" s="388" t="s">
        <v>520</v>
      </c>
      <c r="O117" s="388" t="s">
        <v>523</v>
      </c>
    </row>
    <row r="118" spans="1:15">
      <c r="A118" s="386" t="str">
        <f t="shared" si="25"/>
        <v>-</v>
      </c>
      <c r="B118" s="386" t="str">
        <f t="shared" si="27"/>
        <v>-</v>
      </c>
      <c r="D118" s="386">
        <v>37</v>
      </c>
      <c r="E118" s="386" t="s">
        <v>138</v>
      </c>
      <c r="F118" s="386" t="s">
        <v>139</v>
      </c>
      <c r="G118" s="290" t="s">
        <v>389</v>
      </c>
      <c r="H118">
        <v>16</v>
      </c>
      <c r="I118">
        <v>18.3</v>
      </c>
      <c r="J118">
        <v>3</v>
      </c>
      <c r="K118">
        <v>2</v>
      </c>
      <c r="L118">
        <f t="shared" si="26"/>
        <v>450</v>
      </c>
      <c r="M118">
        <v>500</v>
      </c>
      <c r="N118" s="388" t="s">
        <v>520</v>
      </c>
      <c r="O118" s="388" t="s">
        <v>523</v>
      </c>
    </row>
    <row r="119" spans="1:15">
      <c r="A119" s="386" t="str">
        <f t="shared" si="25"/>
        <v>-</v>
      </c>
      <c r="B119" s="386" t="str">
        <f t="shared" si="27"/>
        <v>-</v>
      </c>
      <c r="D119" s="386">
        <v>38</v>
      </c>
      <c r="E119" s="386" t="s">
        <v>13</v>
      </c>
      <c r="F119" s="386" t="s">
        <v>14</v>
      </c>
      <c r="G119" s="290" t="s">
        <v>536</v>
      </c>
      <c r="H119">
        <v>3.3</v>
      </c>
      <c r="I119">
        <v>4.9000000000000004</v>
      </c>
      <c r="J119">
        <v>1</v>
      </c>
      <c r="K119">
        <v>1</v>
      </c>
      <c r="L119">
        <f t="shared" si="26"/>
        <v>500</v>
      </c>
      <c r="M119">
        <v>550</v>
      </c>
      <c r="N119" s="388" t="s">
        <v>520</v>
      </c>
      <c r="O119" s="388" t="s">
        <v>523</v>
      </c>
    </row>
    <row r="120" spans="1:15">
      <c r="A120" s="386" t="str">
        <f t="shared" si="25"/>
        <v>-</v>
      </c>
      <c r="B120" s="386" t="str">
        <f t="shared" si="27"/>
        <v>-</v>
      </c>
      <c r="D120" s="386">
        <v>39</v>
      </c>
      <c r="E120" s="386" t="s">
        <v>13</v>
      </c>
      <c r="F120" s="386" t="s">
        <v>14</v>
      </c>
      <c r="G120" s="290" t="s">
        <v>536</v>
      </c>
      <c r="H120">
        <f>I119</f>
        <v>4.9000000000000004</v>
      </c>
      <c r="I120">
        <v>6.8</v>
      </c>
      <c r="J120">
        <v>2</v>
      </c>
      <c r="K120">
        <v>1</v>
      </c>
      <c r="L120">
        <f t="shared" si="26"/>
        <v>500</v>
      </c>
      <c r="M120">
        <v>550</v>
      </c>
      <c r="N120" s="388" t="s">
        <v>520</v>
      </c>
      <c r="O120" s="388" t="s">
        <v>523</v>
      </c>
    </row>
    <row r="121" spans="1:15">
      <c r="A121" s="386" t="str">
        <f t="shared" si="25"/>
        <v>-</v>
      </c>
      <c r="B121" s="386" t="str">
        <f t="shared" si="27"/>
        <v>-</v>
      </c>
      <c r="D121" s="386">
        <v>40</v>
      </c>
      <c r="E121" s="386" t="s">
        <v>135</v>
      </c>
      <c r="F121" s="386" t="s">
        <v>136</v>
      </c>
      <c r="G121" s="290" t="s">
        <v>387</v>
      </c>
      <c r="H121">
        <v>4.2</v>
      </c>
      <c r="I121">
        <v>4.5</v>
      </c>
      <c r="J121">
        <v>1</v>
      </c>
      <c r="K121">
        <v>1</v>
      </c>
      <c r="L121">
        <f t="shared" si="26"/>
        <v>500</v>
      </c>
      <c r="M121">
        <v>550</v>
      </c>
      <c r="N121" s="388" t="s">
        <v>520</v>
      </c>
      <c r="O121" s="388" t="s">
        <v>523</v>
      </c>
    </row>
    <row r="122" spans="1:15">
      <c r="A122" s="386" t="str">
        <f t="shared" si="25"/>
        <v>-</v>
      </c>
      <c r="B122" s="386" t="str">
        <f t="shared" si="27"/>
        <v>-</v>
      </c>
      <c r="D122" s="386">
        <v>41</v>
      </c>
      <c r="E122" s="386" t="s">
        <v>135</v>
      </c>
      <c r="F122" s="386" t="s">
        <v>136</v>
      </c>
      <c r="G122" s="290" t="s">
        <v>387</v>
      </c>
      <c r="H122">
        <f>I121</f>
        <v>4.5</v>
      </c>
      <c r="I122">
        <v>7.5</v>
      </c>
      <c r="J122">
        <v>2</v>
      </c>
      <c r="K122">
        <v>1</v>
      </c>
      <c r="L122">
        <f t="shared" si="26"/>
        <v>500</v>
      </c>
      <c r="M122">
        <v>550</v>
      </c>
      <c r="N122" s="388" t="s">
        <v>520</v>
      </c>
      <c r="O122" s="388" t="s">
        <v>523</v>
      </c>
    </row>
    <row r="123" spans="1:15">
      <c r="A123" s="386" t="str">
        <f t="shared" si="25"/>
        <v>-</v>
      </c>
      <c r="B123" s="386" t="str">
        <f t="shared" si="27"/>
        <v>-</v>
      </c>
      <c r="D123" s="386">
        <v>42</v>
      </c>
      <c r="E123" s="386" t="s">
        <v>135</v>
      </c>
      <c r="F123" s="386" t="s">
        <v>136</v>
      </c>
      <c r="G123" s="290" t="s">
        <v>387</v>
      </c>
      <c r="H123">
        <f>I122</f>
        <v>7.5</v>
      </c>
      <c r="I123">
        <v>8.8000000000000007</v>
      </c>
      <c r="J123">
        <v>3</v>
      </c>
      <c r="K123">
        <v>1</v>
      </c>
      <c r="L123">
        <f t="shared" si="26"/>
        <v>500</v>
      </c>
      <c r="M123">
        <v>550</v>
      </c>
      <c r="N123" s="388" t="s">
        <v>520</v>
      </c>
      <c r="O123" s="388" t="s">
        <v>523</v>
      </c>
    </row>
    <row r="124" spans="1:15">
      <c r="A124" s="386" t="str">
        <f t="shared" si="25"/>
        <v>-</v>
      </c>
      <c r="B124" s="386" t="str">
        <f t="shared" si="27"/>
        <v>-</v>
      </c>
      <c r="D124" s="386">
        <v>43</v>
      </c>
      <c r="E124" s="386" t="s">
        <v>135</v>
      </c>
      <c r="F124" s="386" t="s">
        <v>136</v>
      </c>
      <c r="G124" s="290" t="s">
        <v>388</v>
      </c>
      <c r="H124">
        <v>6.3</v>
      </c>
      <c r="I124">
        <v>6.8</v>
      </c>
      <c r="J124">
        <v>2</v>
      </c>
      <c r="K124">
        <v>1</v>
      </c>
      <c r="L124">
        <f t="shared" si="26"/>
        <v>500</v>
      </c>
      <c r="M124">
        <v>550</v>
      </c>
      <c r="N124" s="388" t="s">
        <v>520</v>
      </c>
      <c r="O124" s="388" t="s">
        <v>523</v>
      </c>
    </row>
    <row r="125" spans="1:15">
      <c r="A125" s="386" t="str">
        <f t="shared" si="25"/>
        <v>-</v>
      </c>
      <c r="B125" s="386" t="str">
        <f t="shared" si="27"/>
        <v>-</v>
      </c>
      <c r="D125" s="386">
        <v>44</v>
      </c>
      <c r="E125" s="386" t="s">
        <v>135</v>
      </c>
      <c r="F125" s="386" t="s">
        <v>136</v>
      </c>
      <c r="G125" s="290" t="s">
        <v>388</v>
      </c>
      <c r="H125">
        <v>6.8</v>
      </c>
      <c r="I125">
        <v>9.6999999999999993</v>
      </c>
      <c r="J125">
        <v>3</v>
      </c>
      <c r="K125">
        <v>1</v>
      </c>
      <c r="L125">
        <f t="shared" si="26"/>
        <v>500</v>
      </c>
      <c r="M125">
        <v>550</v>
      </c>
      <c r="N125" s="388" t="s">
        <v>520</v>
      </c>
      <c r="O125" s="388" t="s">
        <v>523</v>
      </c>
    </row>
    <row r="126" spans="1:15">
      <c r="A126" s="386" t="str">
        <f t="shared" si="25"/>
        <v>-</v>
      </c>
      <c r="B126" s="386" t="str">
        <f t="shared" si="27"/>
        <v>-</v>
      </c>
      <c r="D126" s="386">
        <v>45</v>
      </c>
      <c r="E126" s="386" t="s">
        <v>135</v>
      </c>
      <c r="F126" s="386" t="s">
        <v>136</v>
      </c>
      <c r="G126" s="290" t="s">
        <v>388</v>
      </c>
      <c r="H126">
        <v>9.6999999999999993</v>
      </c>
      <c r="I126">
        <v>13.2</v>
      </c>
      <c r="J126">
        <v>2</v>
      </c>
      <c r="K126">
        <v>2</v>
      </c>
      <c r="L126">
        <f t="shared" si="26"/>
        <v>500</v>
      </c>
      <c r="M126">
        <v>550</v>
      </c>
      <c r="N126" s="388" t="s">
        <v>520</v>
      </c>
      <c r="O126" s="388" t="s">
        <v>523</v>
      </c>
    </row>
    <row r="127" spans="1:15">
      <c r="A127" s="386" t="str">
        <f t="shared" si="25"/>
        <v>-</v>
      </c>
      <c r="B127" s="386" t="str">
        <f t="shared" si="27"/>
        <v>-</v>
      </c>
      <c r="D127" s="386">
        <v>46</v>
      </c>
      <c r="E127" s="386" t="s">
        <v>138</v>
      </c>
      <c r="F127" s="386" t="s">
        <v>139</v>
      </c>
      <c r="G127" s="290" t="s">
        <v>389</v>
      </c>
      <c r="H127">
        <v>8.3000000000000007</v>
      </c>
      <c r="I127">
        <v>10.4</v>
      </c>
      <c r="J127">
        <v>3</v>
      </c>
      <c r="K127">
        <v>1</v>
      </c>
      <c r="L127">
        <f t="shared" si="26"/>
        <v>500</v>
      </c>
      <c r="M127">
        <v>550</v>
      </c>
      <c r="N127" s="388" t="s">
        <v>520</v>
      </c>
      <c r="O127" s="388" t="s">
        <v>523</v>
      </c>
    </row>
    <row r="128" spans="1:15">
      <c r="A128" s="386" t="str">
        <f t="shared" si="25"/>
        <v>-</v>
      </c>
      <c r="B128" s="386" t="str">
        <f t="shared" si="27"/>
        <v>-</v>
      </c>
      <c r="D128" s="386">
        <v>47</v>
      </c>
      <c r="E128" s="386" t="s">
        <v>138</v>
      </c>
      <c r="F128" s="386" t="s">
        <v>139</v>
      </c>
      <c r="G128" s="290" t="s">
        <v>389</v>
      </c>
      <c r="H128">
        <v>10.4</v>
      </c>
      <c r="I128">
        <v>15.3</v>
      </c>
      <c r="J128">
        <v>2</v>
      </c>
      <c r="K128">
        <v>2</v>
      </c>
      <c r="L128">
        <f t="shared" si="26"/>
        <v>500</v>
      </c>
      <c r="M128">
        <v>550</v>
      </c>
      <c r="N128" s="388" t="s">
        <v>520</v>
      </c>
      <c r="O128" s="388" t="s">
        <v>523</v>
      </c>
    </row>
    <row r="129" spans="1:15">
      <c r="A129" s="386" t="str">
        <f t="shared" si="25"/>
        <v>-</v>
      </c>
      <c r="B129" s="386" t="str">
        <f t="shared" si="27"/>
        <v>-</v>
      </c>
      <c r="D129" s="386">
        <v>48</v>
      </c>
      <c r="E129" s="386" t="s">
        <v>138</v>
      </c>
      <c r="F129" s="386" t="s">
        <v>139</v>
      </c>
      <c r="G129" s="290" t="s">
        <v>389</v>
      </c>
      <c r="H129">
        <f>I128</f>
        <v>15.3</v>
      </c>
      <c r="I129">
        <v>16.5</v>
      </c>
      <c r="J129">
        <v>3</v>
      </c>
      <c r="K129">
        <v>2</v>
      </c>
      <c r="L129">
        <f t="shared" si="26"/>
        <v>500</v>
      </c>
      <c r="M129">
        <v>550</v>
      </c>
      <c r="N129" s="388" t="s">
        <v>520</v>
      </c>
      <c r="O129" s="388" t="s">
        <v>523</v>
      </c>
    </row>
    <row r="130" spans="1:15">
      <c r="A130" s="386" t="str">
        <f t="shared" si="25"/>
        <v>-</v>
      </c>
      <c r="B130" s="386" t="str">
        <f t="shared" si="27"/>
        <v>-</v>
      </c>
      <c r="D130" s="386">
        <v>49</v>
      </c>
      <c r="E130" s="386" t="s">
        <v>13</v>
      </c>
      <c r="F130" s="386" t="s">
        <v>14</v>
      </c>
      <c r="G130" s="290" t="s">
        <v>536</v>
      </c>
      <c r="H130">
        <v>3</v>
      </c>
      <c r="I130">
        <v>4.7</v>
      </c>
      <c r="J130">
        <v>1</v>
      </c>
      <c r="K130">
        <v>1</v>
      </c>
      <c r="L130">
        <f t="shared" si="26"/>
        <v>550</v>
      </c>
      <c r="M130">
        <v>600</v>
      </c>
      <c r="N130" s="388" t="s">
        <v>520</v>
      </c>
      <c r="O130" s="388" t="s">
        <v>523</v>
      </c>
    </row>
    <row r="131" spans="1:15">
      <c r="A131" s="386" t="str">
        <f t="shared" si="25"/>
        <v>-</v>
      </c>
      <c r="B131" s="386" t="str">
        <f t="shared" si="27"/>
        <v>-</v>
      </c>
      <c r="D131" s="386">
        <v>50</v>
      </c>
      <c r="E131" s="386" t="s">
        <v>13</v>
      </c>
      <c r="F131" s="386" t="s">
        <v>14</v>
      </c>
      <c r="G131" s="290" t="s">
        <v>536</v>
      </c>
      <c r="H131">
        <f>I130</f>
        <v>4.7</v>
      </c>
      <c r="I131">
        <v>6.2</v>
      </c>
      <c r="J131">
        <v>2</v>
      </c>
      <c r="K131">
        <v>1</v>
      </c>
      <c r="L131">
        <f t="shared" si="26"/>
        <v>550</v>
      </c>
      <c r="M131">
        <v>600</v>
      </c>
      <c r="N131" s="388" t="s">
        <v>520</v>
      </c>
      <c r="O131" s="388" t="s">
        <v>523</v>
      </c>
    </row>
    <row r="132" spans="1:15">
      <c r="A132" s="386" t="str">
        <f t="shared" si="25"/>
        <v>-</v>
      </c>
      <c r="B132" s="386" t="str">
        <f t="shared" si="27"/>
        <v>-</v>
      </c>
      <c r="D132" s="386">
        <v>51</v>
      </c>
      <c r="E132" s="386" t="s">
        <v>135</v>
      </c>
      <c r="F132" s="386" t="s">
        <v>136</v>
      </c>
      <c r="G132" s="290" t="s">
        <v>387</v>
      </c>
      <c r="H132">
        <v>3.8</v>
      </c>
      <c r="I132">
        <v>4.2</v>
      </c>
      <c r="J132">
        <v>1</v>
      </c>
      <c r="K132">
        <v>1</v>
      </c>
      <c r="L132">
        <f t="shared" si="26"/>
        <v>550</v>
      </c>
      <c r="M132">
        <v>600</v>
      </c>
      <c r="N132" s="388" t="s">
        <v>520</v>
      </c>
      <c r="O132" s="388" t="s">
        <v>523</v>
      </c>
    </row>
    <row r="133" spans="1:15">
      <c r="A133" s="386" t="str">
        <f t="shared" si="25"/>
        <v>-</v>
      </c>
      <c r="B133" s="386" t="str">
        <f t="shared" si="27"/>
        <v>-</v>
      </c>
      <c r="D133" s="386">
        <v>52</v>
      </c>
      <c r="E133" s="386" t="s">
        <v>135</v>
      </c>
      <c r="F133" s="386" t="s">
        <v>136</v>
      </c>
      <c r="G133" s="290" t="s">
        <v>387</v>
      </c>
      <c r="H133">
        <f>I132</f>
        <v>4.2</v>
      </c>
      <c r="I133">
        <v>7.2</v>
      </c>
      <c r="J133">
        <v>2</v>
      </c>
      <c r="K133">
        <v>1</v>
      </c>
      <c r="L133">
        <f t="shared" si="26"/>
        <v>550</v>
      </c>
      <c r="M133">
        <v>600</v>
      </c>
      <c r="N133" s="388" t="s">
        <v>520</v>
      </c>
      <c r="O133" s="388" t="s">
        <v>523</v>
      </c>
    </row>
    <row r="134" spans="1:15">
      <c r="A134" s="386" t="str">
        <f t="shared" si="25"/>
        <v>-</v>
      </c>
      <c r="B134" s="386" t="str">
        <f t="shared" si="27"/>
        <v>-</v>
      </c>
      <c r="D134" s="386">
        <v>53</v>
      </c>
      <c r="E134" s="386" t="s">
        <v>135</v>
      </c>
      <c r="F134" s="386" t="s">
        <v>136</v>
      </c>
      <c r="G134" s="290" t="s">
        <v>387</v>
      </c>
      <c r="H134">
        <f>I133</f>
        <v>7.2</v>
      </c>
      <c r="I134">
        <v>8</v>
      </c>
      <c r="J134">
        <v>3</v>
      </c>
      <c r="K134">
        <v>1</v>
      </c>
      <c r="L134">
        <f t="shared" si="26"/>
        <v>550</v>
      </c>
      <c r="M134">
        <v>600</v>
      </c>
      <c r="N134" s="388" t="s">
        <v>520</v>
      </c>
      <c r="O134" s="388" t="s">
        <v>523</v>
      </c>
    </row>
    <row r="135" spans="1:15">
      <c r="A135" s="386" t="str">
        <f t="shared" si="25"/>
        <v>-</v>
      </c>
      <c r="B135" s="386" t="str">
        <f t="shared" si="27"/>
        <v>-</v>
      </c>
      <c r="D135" s="386">
        <v>54</v>
      </c>
      <c r="E135" s="386" t="s">
        <v>135</v>
      </c>
      <c r="F135" s="386" t="s">
        <v>136</v>
      </c>
      <c r="G135" s="290" t="s">
        <v>388</v>
      </c>
      <c r="H135">
        <v>5.7</v>
      </c>
      <c r="I135">
        <v>6.7</v>
      </c>
      <c r="J135">
        <v>2</v>
      </c>
      <c r="K135">
        <v>1</v>
      </c>
      <c r="L135">
        <f t="shared" si="26"/>
        <v>550</v>
      </c>
      <c r="M135">
        <v>600</v>
      </c>
      <c r="N135" s="388" t="s">
        <v>520</v>
      </c>
      <c r="O135" s="388" t="s">
        <v>523</v>
      </c>
    </row>
    <row r="136" spans="1:15">
      <c r="A136" s="386" t="str">
        <f t="shared" si="25"/>
        <v>-</v>
      </c>
      <c r="B136" s="386" t="str">
        <f t="shared" si="27"/>
        <v>-</v>
      </c>
      <c r="D136" s="386">
        <v>55</v>
      </c>
      <c r="E136" s="386" t="s">
        <v>135</v>
      </c>
      <c r="F136" s="386" t="s">
        <v>136</v>
      </c>
      <c r="G136" s="290" t="s">
        <v>388</v>
      </c>
      <c r="H136">
        <f>I135</f>
        <v>6.7</v>
      </c>
      <c r="I136">
        <v>9.1999999999999993</v>
      </c>
      <c r="J136">
        <v>3</v>
      </c>
      <c r="K136">
        <v>1</v>
      </c>
      <c r="L136">
        <f t="shared" si="26"/>
        <v>550</v>
      </c>
      <c r="M136">
        <v>600</v>
      </c>
      <c r="N136" s="388" t="s">
        <v>520</v>
      </c>
      <c r="O136" s="388" t="s">
        <v>523</v>
      </c>
    </row>
    <row r="137" spans="1:15">
      <c r="A137" s="386" t="str">
        <f t="shared" si="25"/>
        <v>-</v>
      </c>
      <c r="B137" s="386" t="str">
        <f t="shared" si="27"/>
        <v>-</v>
      </c>
      <c r="D137" s="386">
        <v>56</v>
      </c>
      <c r="E137" s="386" t="s">
        <v>135</v>
      </c>
      <c r="F137" s="386" t="s">
        <v>136</v>
      </c>
      <c r="G137" s="290" t="s">
        <v>388</v>
      </c>
      <c r="H137">
        <f>I136</f>
        <v>9.1999999999999993</v>
      </c>
      <c r="I137">
        <v>12</v>
      </c>
      <c r="J137">
        <v>2</v>
      </c>
      <c r="K137">
        <v>2</v>
      </c>
      <c r="L137">
        <f t="shared" si="26"/>
        <v>550</v>
      </c>
      <c r="M137">
        <v>600</v>
      </c>
      <c r="N137" s="388" t="s">
        <v>520</v>
      </c>
      <c r="O137" s="388" t="s">
        <v>523</v>
      </c>
    </row>
    <row r="138" spans="1:15">
      <c r="A138" s="386" t="str">
        <f t="shared" si="25"/>
        <v>-</v>
      </c>
      <c r="B138" s="386" t="str">
        <f t="shared" si="27"/>
        <v>-</v>
      </c>
      <c r="D138" s="386">
        <v>57</v>
      </c>
      <c r="E138" s="386" t="s">
        <v>138</v>
      </c>
      <c r="F138" s="386" t="s">
        <v>139</v>
      </c>
      <c r="G138" s="290" t="s">
        <v>389</v>
      </c>
      <c r="H138">
        <v>7.6</v>
      </c>
      <c r="I138">
        <v>10.199999999999999</v>
      </c>
      <c r="J138">
        <v>3</v>
      </c>
      <c r="K138">
        <v>1</v>
      </c>
      <c r="L138">
        <f t="shared" si="26"/>
        <v>550</v>
      </c>
      <c r="M138">
        <v>600</v>
      </c>
      <c r="N138" s="388" t="s">
        <v>520</v>
      </c>
      <c r="O138" s="388" t="s">
        <v>523</v>
      </c>
    </row>
    <row r="139" spans="1:15">
      <c r="A139" s="386" t="str">
        <f t="shared" si="25"/>
        <v>-</v>
      </c>
      <c r="B139" s="386" t="str">
        <f t="shared" si="27"/>
        <v>-</v>
      </c>
      <c r="D139" s="386">
        <v>58</v>
      </c>
      <c r="E139" s="386" t="s">
        <v>138</v>
      </c>
      <c r="F139" s="386" t="s">
        <v>139</v>
      </c>
      <c r="G139" s="290" t="s">
        <v>389</v>
      </c>
      <c r="H139">
        <f>I138</f>
        <v>10.199999999999999</v>
      </c>
      <c r="I139">
        <v>15</v>
      </c>
      <c r="J139">
        <v>2</v>
      </c>
      <c r="K139">
        <v>2</v>
      </c>
      <c r="L139">
        <f t="shared" si="26"/>
        <v>550</v>
      </c>
      <c r="M139">
        <v>600</v>
      </c>
      <c r="N139" s="388" t="s">
        <v>520</v>
      </c>
      <c r="O139" s="388" t="s">
        <v>523</v>
      </c>
    </row>
    <row r="140" spans="1:15">
      <c r="A140" s="386" t="str">
        <f t="shared" si="25"/>
        <v>-</v>
      </c>
      <c r="B140" s="386" t="str">
        <f t="shared" si="27"/>
        <v>-</v>
      </c>
      <c r="D140" s="386">
        <v>59</v>
      </c>
      <c r="E140" s="386" t="s">
        <v>13</v>
      </c>
      <c r="F140" s="386" t="s">
        <v>14</v>
      </c>
      <c r="G140" s="290" t="s">
        <v>536</v>
      </c>
      <c r="H140">
        <v>2.6</v>
      </c>
      <c r="I140">
        <v>4.0999999999999996</v>
      </c>
      <c r="J140">
        <v>1</v>
      </c>
      <c r="K140">
        <v>1</v>
      </c>
      <c r="L140">
        <f t="shared" si="26"/>
        <v>600</v>
      </c>
      <c r="M140">
        <v>650</v>
      </c>
      <c r="N140" s="388" t="s">
        <v>520</v>
      </c>
      <c r="O140" s="388" t="s">
        <v>523</v>
      </c>
    </row>
    <row r="141" spans="1:15">
      <c r="A141" s="386" t="str">
        <f t="shared" si="25"/>
        <v>-</v>
      </c>
      <c r="B141" s="386" t="str">
        <f t="shared" si="27"/>
        <v>-</v>
      </c>
      <c r="D141" s="386">
        <v>60</v>
      </c>
      <c r="E141" s="386" t="s">
        <v>13</v>
      </c>
      <c r="F141" s="386" t="s">
        <v>14</v>
      </c>
      <c r="G141" s="290" t="s">
        <v>536</v>
      </c>
      <c r="H141">
        <v>4.0999999999999996</v>
      </c>
      <c r="I141">
        <v>5.6</v>
      </c>
      <c r="J141">
        <v>2</v>
      </c>
      <c r="K141">
        <v>1</v>
      </c>
      <c r="L141">
        <f t="shared" si="26"/>
        <v>600</v>
      </c>
      <c r="M141">
        <v>650</v>
      </c>
      <c r="N141" s="388" t="s">
        <v>520</v>
      </c>
      <c r="O141" s="388" t="s">
        <v>523</v>
      </c>
    </row>
    <row r="142" spans="1:15">
      <c r="A142" s="386" t="str">
        <f t="shared" si="25"/>
        <v>-</v>
      </c>
      <c r="B142" s="386" t="str">
        <f t="shared" si="27"/>
        <v>-</v>
      </c>
      <c r="D142" s="386">
        <v>61</v>
      </c>
      <c r="E142" s="386" t="s">
        <v>135</v>
      </c>
      <c r="F142" s="386" t="s">
        <v>136</v>
      </c>
      <c r="G142" s="290" t="s">
        <v>387</v>
      </c>
      <c r="H142">
        <v>3.4</v>
      </c>
      <c r="I142">
        <v>6.4</v>
      </c>
      <c r="J142">
        <v>2</v>
      </c>
      <c r="K142">
        <v>1</v>
      </c>
      <c r="L142">
        <f t="shared" si="26"/>
        <v>600</v>
      </c>
      <c r="M142">
        <v>650</v>
      </c>
      <c r="N142" s="388" t="s">
        <v>520</v>
      </c>
      <c r="O142" s="388" t="s">
        <v>523</v>
      </c>
    </row>
    <row r="143" spans="1:15">
      <c r="A143" s="386" t="str">
        <f t="shared" si="25"/>
        <v>-</v>
      </c>
      <c r="B143" s="386" t="str">
        <f t="shared" si="27"/>
        <v>-</v>
      </c>
      <c r="D143" s="386">
        <v>62</v>
      </c>
      <c r="E143" s="386" t="s">
        <v>135</v>
      </c>
      <c r="F143" s="386" t="s">
        <v>136</v>
      </c>
      <c r="G143" s="290" t="s">
        <v>387</v>
      </c>
      <c r="H143">
        <f>I142</f>
        <v>6.4</v>
      </c>
      <c r="I143">
        <v>7.3</v>
      </c>
      <c r="J143">
        <v>3</v>
      </c>
      <c r="K143">
        <v>1</v>
      </c>
      <c r="L143">
        <f t="shared" si="26"/>
        <v>600</v>
      </c>
      <c r="M143">
        <v>650</v>
      </c>
      <c r="N143" s="388" t="s">
        <v>520</v>
      </c>
      <c r="O143" s="388" t="s">
        <v>523</v>
      </c>
    </row>
    <row r="144" spans="1:15">
      <c r="A144" s="386" t="str">
        <f t="shared" si="25"/>
        <v>-</v>
      </c>
      <c r="B144" s="386" t="str">
        <f t="shared" si="27"/>
        <v>-</v>
      </c>
      <c r="D144" s="386">
        <v>63</v>
      </c>
      <c r="E144" s="386" t="s">
        <v>135</v>
      </c>
      <c r="F144" s="386" t="s">
        <v>136</v>
      </c>
      <c r="G144" s="290" t="s">
        <v>388</v>
      </c>
      <c r="H144">
        <v>5.3</v>
      </c>
      <c r="I144">
        <v>8.4</v>
      </c>
      <c r="J144">
        <v>3</v>
      </c>
      <c r="K144">
        <v>1</v>
      </c>
      <c r="L144">
        <f t="shared" si="26"/>
        <v>600</v>
      </c>
      <c r="M144">
        <v>650</v>
      </c>
      <c r="N144" s="388" t="s">
        <v>520</v>
      </c>
      <c r="O144" s="388" t="s">
        <v>523</v>
      </c>
    </row>
    <row r="145" spans="1:15">
      <c r="A145" s="386">
        <f t="shared" ca="1" si="25"/>
        <v>2</v>
      </c>
      <c r="B145" s="386">
        <f t="shared" ca="1" si="27"/>
        <v>0.88661538461538514</v>
      </c>
      <c r="D145" s="386">
        <v>64</v>
      </c>
      <c r="E145" s="386" t="s">
        <v>135</v>
      </c>
      <c r="F145" s="386" t="s">
        <v>136</v>
      </c>
      <c r="G145" s="290" t="s">
        <v>388</v>
      </c>
      <c r="H145">
        <f>I144</f>
        <v>8.4</v>
      </c>
      <c r="I145">
        <v>11</v>
      </c>
      <c r="J145">
        <v>2</v>
      </c>
      <c r="K145">
        <v>2</v>
      </c>
      <c r="L145">
        <f t="shared" si="26"/>
        <v>600</v>
      </c>
      <c r="M145">
        <v>650</v>
      </c>
      <c r="N145" s="388" t="s">
        <v>520</v>
      </c>
      <c r="O145" s="388" t="s">
        <v>523</v>
      </c>
    </row>
    <row r="146" spans="1:15">
      <c r="A146" s="386" t="str">
        <f t="shared" ca="1" si="25"/>
        <v>-</v>
      </c>
      <c r="B146" s="386" t="str">
        <f t="shared" ref="B146:B147" ca="1" si="28">IF(A146&lt;&gt;"-",ABS((FFP315Вес-H146)/(I146-H146)*2-1),"-")</f>
        <v>-</v>
      </c>
      <c r="D146" s="386">
        <v>65</v>
      </c>
      <c r="E146" s="386" t="s">
        <v>138</v>
      </c>
      <c r="F146" s="386" t="s">
        <v>139</v>
      </c>
      <c r="G146" s="290" t="s">
        <v>389</v>
      </c>
      <c r="H146">
        <v>6.9</v>
      </c>
      <c r="I146">
        <v>10.5</v>
      </c>
      <c r="J146">
        <v>3</v>
      </c>
      <c r="K146">
        <v>1</v>
      </c>
      <c r="L146">
        <f t="shared" si="26"/>
        <v>600</v>
      </c>
      <c r="M146">
        <v>650</v>
      </c>
      <c r="N146" s="388" t="s">
        <v>520</v>
      </c>
      <c r="O146" s="388" t="s">
        <v>523</v>
      </c>
    </row>
    <row r="147" spans="1:15">
      <c r="A147" s="386" t="str">
        <f t="shared" ref="A147" si="29">IF(AND($M$80&gt;L147,$M$80&lt;=M147),IF(AND($I$80&gt;=H147,$I$80&lt;I147),IF(E147=$K$80,J147,"-"),"-"),"-")</f>
        <v>-</v>
      </c>
      <c r="B147" s="386" t="str">
        <f t="shared" si="28"/>
        <v>-</v>
      </c>
      <c r="D147" s="386">
        <v>66</v>
      </c>
      <c r="E147" s="386" t="s">
        <v>138</v>
      </c>
      <c r="F147" s="386" t="s">
        <v>139</v>
      </c>
      <c r="G147" s="290" t="s">
        <v>389</v>
      </c>
      <c r="H147">
        <f>I146</f>
        <v>10.5</v>
      </c>
      <c r="I147">
        <v>14</v>
      </c>
      <c r="J147">
        <v>2</v>
      </c>
      <c r="K147">
        <v>2</v>
      </c>
      <c r="L147">
        <f t="shared" si="26"/>
        <v>600</v>
      </c>
      <c r="M147">
        <v>650</v>
      </c>
      <c r="N147" s="388" t="s">
        <v>520</v>
      </c>
      <c r="O147" s="388" t="s">
        <v>523</v>
      </c>
    </row>
    <row r="150" spans="1:15">
      <c r="G150" s="387" t="s">
        <v>40</v>
      </c>
      <c r="H150" s="131" t="s">
        <v>85</v>
      </c>
      <c r="I150" s="132"/>
      <c r="J150" s="387" t="s">
        <v>515</v>
      </c>
      <c r="K150" s="132"/>
      <c r="L150" s="131" t="s">
        <v>141</v>
      </c>
      <c r="M150" s="132">
        <f>FFP315Высота</f>
        <v>650</v>
      </c>
    </row>
    <row r="151" spans="1:15">
      <c r="G151" s="386" t="s">
        <v>515</v>
      </c>
      <c r="H151" s="386" t="s">
        <v>86</v>
      </c>
      <c r="I151" s="386" t="s">
        <v>87</v>
      </c>
      <c r="J151" s="386"/>
      <c r="K151" s="386" t="s">
        <v>59</v>
      </c>
      <c r="L151" s="386" t="s">
        <v>86</v>
      </c>
      <c r="M151" s="386" t="s">
        <v>87</v>
      </c>
      <c r="N151" s="386" t="s">
        <v>363</v>
      </c>
    </row>
    <row r="152" spans="1:15">
      <c r="D152" s="385">
        <v>1</v>
      </c>
      <c r="G152" s="386" t="s">
        <v>510</v>
      </c>
      <c r="H152" s="385">
        <v>2.4</v>
      </c>
      <c r="I152" s="385">
        <v>3.3</v>
      </c>
      <c r="L152" s="385">
        <v>0</v>
      </c>
      <c r="M152" s="385">
        <v>300</v>
      </c>
      <c r="N152" s="385">
        <v>75</v>
      </c>
    </row>
    <row r="153" spans="1:15">
      <c r="G153" s="386" t="s">
        <v>510</v>
      </c>
      <c r="H153" s="385">
        <v>1.7</v>
      </c>
      <c r="I153" s="385">
        <v>2.2999999999999998</v>
      </c>
      <c r="L153" s="385">
        <v>300</v>
      </c>
      <c r="M153" s="385">
        <v>400</v>
      </c>
      <c r="N153" s="385">
        <v>75</v>
      </c>
    </row>
    <row r="154" spans="1:15">
      <c r="G154" s="386" t="s">
        <v>510</v>
      </c>
      <c r="H154" s="385">
        <v>1.7</v>
      </c>
      <c r="I154" s="385">
        <v>2.4</v>
      </c>
      <c r="L154" s="385">
        <v>0</v>
      </c>
      <c r="M154" s="385">
        <v>300</v>
      </c>
      <c r="N154" s="385">
        <v>90</v>
      </c>
    </row>
    <row r="155" spans="1:15">
      <c r="G155" s="386" t="s">
        <v>511</v>
      </c>
      <c r="L155" s="385">
        <v>0</v>
      </c>
      <c r="M155" s="385">
        <v>300</v>
      </c>
    </row>
    <row r="156" spans="1:15">
      <c r="L156" s="385">
        <v>300</v>
      </c>
      <c r="M156" s="385">
        <v>400</v>
      </c>
    </row>
    <row r="157" spans="1:15">
      <c r="L157" s="385">
        <f>M156</f>
        <v>400</v>
      </c>
      <c r="M157" s="385">
        <f>L157+100</f>
        <v>500</v>
      </c>
    </row>
    <row r="158" spans="1:15">
      <c r="L158" s="385">
        <f t="shared" ref="L158:L159" si="30">M157</f>
        <v>500</v>
      </c>
      <c r="M158" s="385">
        <f t="shared" ref="M158:M159" si="31">L158+100</f>
        <v>600</v>
      </c>
    </row>
    <row r="159" spans="1:15">
      <c r="L159" s="385">
        <f t="shared" si="30"/>
        <v>600</v>
      </c>
      <c r="M159" s="385">
        <f t="shared" si="31"/>
        <v>700</v>
      </c>
    </row>
  </sheetData>
  <sheetProtection password="CEE3" sheet="1" objects="1" scenarios="1" selectLockedCells="1" selectUnlockedCells="1"/>
  <autoFilter ref="E81:M14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"/>
  <dimension ref="A1:CH135"/>
  <sheetViews>
    <sheetView tabSelected="1" topLeftCell="C28" zoomScale="90" zoomScaleNormal="90" workbookViewId="0">
      <selection activeCell="M35" sqref="M35"/>
    </sheetView>
  </sheetViews>
  <sheetFormatPr defaultColWidth="9.140625" defaultRowHeight="15"/>
  <cols>
    <col min="1" max="1" width="3.42578125" style="1" hidden="1" customWidth="1"/>
    <col min="2" max="2" width="1.7109375" style="8" customWidth="1"/>
    <col min="3" max="3" width="31.85546875" style="9" customWidth="1"/>
    <col min="4" max="4" width="3.42578125" style="117" customWidth="1"/>
    <col min="5" max="5" width="12.28515625" style="117" hidden="1" customWidth="1"/>
    <col min="6" max="6" width="11.5703125" style="117" customWidth="1"/>
    <col min="7" max="7" width="36.7109375" style="117" customWidth="1"/>
    <col min="8" max="8" width="19.28515625" style="117" customWidth="1"/>
    <col min="9" max="9" width="18.85546875" style="117" customWidth="1"/>
    <col min="10" max="10" width="7" style="117" customWidth="1"/>
    <col min="11" max="11" width="6" style="118" customWidth="1"/>
    <col min="12" max="12" width="10.28515625" style="117" customWidth="1"/>
    <col min="13" max="14" width="12" style="119" customWidth="1"/>
    <col min="15" max="15" width="2" style="119" customWidth="1"/>
    <col min="16" max="16" width="1.7109375" style="2" customWidth="1"/>
    <col min="17" max="17" width="2.85546875" style="6" customWidth="1"/>
    <col min="18" max="18" width="48.7109375" style="7" customWidth="1"/>
    <col min="19" max="19" width="9.140625" style="7"/>
    <col min="20" max="86" width="9.140625" style="8"/>
    <col min="87" max="262" width="9.140625" style="9"/>
    <col min="263" max="263" width="4" style="9" customWidth="1"/>
    <col min="264" max="264" width="11.5703125" style="9" customWidth="1"/>
    <col min="265" max="265" width="71" style="9" customWidth="1"/>
    <col min="266" max="266" width="10" style="9" customWidth="1"/>
    <col min="267" max="267" width="7.140625" style="9" customWidth="1"/>
    <col min="268" max="268" width="9.7109375" style="9" customWidth="1"/>
    <col min="269" max="518" width="9.140625" style="9"/>
    <col min="519" max="519" width="4" style="9" customWidth="1"/>
    <col min="520" max="520" width="11.5703125" style="9" customWidth="1"/>
    <col min="521" max="521" width="71" style="9" customWidth="1"/>
    <col min="522" max="522" width="10" style="9" customWidth="1"/>
    <col min="523" max="523" width="7.140625" style="9" customWidth="1"/>
    <col min="524" max="524" width="9.7109375" style="9" customWidth="1"/>
    <col min="525" max="774" width="9.140625" style="9"/>
    <col min="775" max="775" width="4" style="9" customWidth="1"/>
    <col min="776" max="776" width="11.5703125" style="9" customWidth="1"/>
    <col min="777" max="777" width="71" style="9" customWidth="1"/>
    <col min="778" max="778" width="10" style="9" customWidth="1"/>
    <col min="779" max="779" width="7.140625" style="9" customWidth="1"/>
    <col min="780" max="780" width="9.7109375" style="9" customWidth="1"/>
    <col min="781" max="1030" width="9.140625" style="9"/>
    <col min="1031" max="1031" width="4" style="9" customWidth="1"/>
    <col min="1032" max="1032" width="11.5703125" style="9" customWidth="1"/>
    <col min="1033" max="1033" width="71" style="9" customWidth="1"/>
    <col min="1034" max="1034" width="10" style="9" customWidth="1"/>
    <col min="1035" max="1035" width="7.140625" style="9" customWidth="1"/>
    <col min="1036" max="1036" width="9.7109375" style="9" customWidth="1"/>
    <col min="1037" max="1286" width="9.140625" style="9"/>
    <col min="1287" max="1287" width="4" style="9" customWidth="1"/>
    <col min="1288" max="1288" width="11.5703125" style="9" customWidth="1"/>
    <col min="1289" max="1289" width="71" style="9" customWidth="1"/>
    <col min="1290" max="1290" width="10" style="9" customWidth="1"/>
    <col min="1291" max="1291" width="7.140625" style="9" customWidth="1"/>
    <col min="1292" max="1292" width="9.7109375" style="9" customWidth="1"/>
    <col min="1293" max="1542" width="9.140625" style="9"/>
    <col min="1543" max="1543" width="4" style="9" customWidth="1"/>
    <col min="1544" max="1544" width="11.5703125" style="9" customWidth="1"/>
    <col min="1545" max="1545" width="71" style="9" customWidth="1"/>
    <col min="1546" max="1546" width="10" style="9" customWidth="1"/>
    <col min="1547" max="1547" width="7.140625" style="9" customWidth="1"/>
    <col min="1548" max="1548" width="9.7109375" style="9" customWidth="1"/>
    <col min="1549" max="1798" width="9.140625" style="9"/>
    <col min="1799" max="1799" width="4" style="9" customWidth="1"/>
    <col min="1800" max="1800" width="11.5703125" style="9" customWidth="1"/>
    <col min="1801" max="1801" width="71" style="9" customWidth="1"/>
    <col min="1802" max="1802" width="10" style="9" customWidth="1"/>
    <col min="1803" max="1803" width="7.140625" style="9" customWidth="1"/>
    <col min="1804" max="1804" width="9.7109375" style="9" customWidth="1"/>
    <col min="1805" max="2054" width="9.140625" style="9"/>
    <col min="2055" max="2055" width="4" style="9" customWidth="1"/>
    <col min="2056" max="2056" width="11.5703125" style="9" customWidth="1"/>
    <col min="2057" max="2057" width="71" style="9" customWidth="1"/>
    <col min="2058" max="2058" width="10" style="9" customWidth="1"/>
    <col min="2059" max="2059" width="7.140625" style="9" customWidth="1"/>
    <col min="2060" max="2060" width="9.7109375" style="9" customWidth="1"/>
    <col min="2061" max="2310" width="9.140625" style="9"/>
    <col min="2311" max="2311" width="4" style="9" customWidth="1"/>
    <col min="2312" max="2312" width="11.5703125" style="9" customWidth="1"/>
    <col min="2313" max="2313" width="71" style="9" customWidth="1"/>
    <col min="2314" max="2314" width="10" style="9" customWidth="1"/>
    <col min="2315" max="2315" width="7.140625" style="9" customWidth="1"/>
    <col min="2316" max="2316" width="9.7109375" style="9" customWidth="1"/>
    <col min="2317" max="2566" width="9.140625" style="9"/>
    <col min="2567" max="2567" width="4" style="9" customWidth="1"/>
    <col min="2568" max="2568" width="11.5703125" style="9" customWidth="1"/>
    <col min="2569" max="2569" width="71" style="9" customWidth="1"/>
    <col min="2570" max="2570" width="10" style="9" customWidth="1"/>
    <col min="2571" max="2571" width="7.140625" style="9" customWidth="1"/>
    <col min="2572" max="2572" width="9.7109375" style="9" customWidth="1"/>
    <col min="2573" max="2822" width="9.140625" style="9"/>
    <col min="2823" max="2823" width="4" style="9" customWidth="1"/>
    <col min="2824" max="2824" width="11.5703125" style="9" customWidth="1"/>
    <col min="2825" max="2825" width="71" style="9" customWidth="1"/>
    <col min="2826" max="2826" width="10" style="9" customWidth="1"/>
    <col min="2827" max="2827" width="7.140625" style="9" customWidth="1"/>
    <col min="2828" max="2828" width="9.7109375" style="9" customWidth="1"/>
    <col min="2829" max="3078" width="9.140625" style="9"/>
    <col min="3079" max="3079" width="4" style="9" customWidth="1"/>
    <col min="3080" max="3080" width="11.5703125" style="9" customWidth="1"/>
    <col min="3081" max="3081" width="71" style="9" customWidth="1"/>
    <col min="3082" max="3082" width="10" style="9" customWidth="1"/>
    <col min="3083" max="3083" width="7.140625" style="9" customWidth="1"/>
    <col min="3084" max="3084" width="9.7109375" style="9" customWidth="1"/>
    <col min="3085" max="3334" width="9.140625" style="9"/>
    <col min="3335" max="3335" width="4" style="9" customWidth="1"/>
    <col min="3336" max="3336" width="11.5703125" style="9" customWidth="1"/>
    <col min="3337" max="3337" width="71" style="9" customWidth="1"/>
    <col min="3338" max="3338" width="10" style="9" customWidth="1"/>
    <col min="3339" max="3339" width="7.140625" style="9" customWidth="1"/>
    <col min="3340" max="3340" width="9.7109375" style="9" customWidth="1"/>
    <col min="3341" max="3590" width="9.140625" style="9"/>
    <col min="3591" max="3591" width="4" style="9" customWidth="1"/>
    <col min="3592" max="3592" width="11.5703125" style="9" customWidth="1"/>
    <col min="3593" max="3593" width="71" style="9" customWidth="1"/>
    <col min="3594" max="3594" width="10" style="9" customWidth="1"/>
    <col min="3595" max="3595" width="7.140625" style="9" customWidth="1"/>
    <col min="3596" max="3596" width="9.7109375" style="9" customWidth="1"/>
    <col min="3597" max="3846" width="9.140625" style="9"/>
    <col min="3847" max="3847" width="4" style="9" customWidth="1"/>
    <col min="3848" max="3848" width="11.5703125" style="9" customWidth="1"/>
    <col min="3849" max="3849" width="71" style="9" customWidth="1"/>
    <col min="3850" max="3850" width="10" style="9" customWidth="1"/>
    <col min="3851" max="3851" width="7.140625" style="9" customWidth="1"/>
    <col min="3852" max="3852" width="9.7109375" style="9" customWidth="1"/>
    <col min="3853" max="4102" width="9.140625" style="9"/>
    <col min="4103" max="4103" width="4" style="9" customWidth="1"/>
    <col min="4104" max="4104" width="11.5703125" style="9" customWidth="1"/>
    <col min="4105" max="4105" width="71" style="9" customWidth="1"/>
    <col min="4106" max="4106" width="10" style="9" customWidth="1"/>
    <col min="4107" max="4107" width="7.140625" style="9" customWidth="1"/>
    <col min="4108" max="4108" width="9.7109375" style="9" customWidth="1"/>
    <col min="4109" max="4358" width="9.140625" style="9"/>
    <col min="4359" max="4359" width="4" style="9" customWidth="1"/>
    <col min="4360" max="4360" width="11.5703125" style="9" customWidth="1"/>
    <col min="4361" max="4361" width="71" style="9" customWidth="1"/>
    <col min="4362" max="4362" width="10" style="9" customWidth="1"/>
    <col min="4363" max="4363" width="7.140625" style="9" customWidth="1"/>
    <col min="4364" max="4364" width="9.7109375" style="9" customWidth="1"/>
    <col min="4365" max="4614" width="9.140625" style="9"/>
    <col min="4615" max="4615" width="4" style="9" customWidth="1"/>
    <col min="4616" max="4616" width="11.5703125" style="9" customWidth="1"/>
    <col min="4617" max="4617" width="71" style="9" customWidth="1"/>
    <col min="4618" max="4618" width="10" style="9" customWidth="1"/>
    <col min="4619" max="4619" width="7.140625" style="9" customWidth="1"/>
    <col min="4620" max="4620" width="9.7109375" style="9" customWidth="1"/>
    <col min="4621" max="4870" width="9.140625" style="9"/>
    <col min="4871" max="4871" width="4" style="9" customWidth="1"/>
    <col min="4872" max="4872" width="11.5703125" style="9" customWidth="1"/>
    <col min="4873" max="4873" width="71" style="9" customWidth="1"/>
    <col min="4874" max="4874" width="10" style="9" customWidth="1"/>
    <col min="4875" max="4875" width="7.140625" style="9" customWidth="1"/>
    <col min="4876" max="4876" width="9.7109375" style="9" customWidth="1"/>
    <col min="4877" max="5126" width="9.140625" style="9"/>
    <col min="5127" max="5127" width="4" style="9" customWidth="1"/>
    <col min="5128" max="5128" width="11.5703125" style="9" customWidth="1"/>
    <col min="5129" max="5129" width="71" style="9" customWidth="1"/>
    <col min="5130" max="5130" width="10" style="9" customWidth="1"/>
    <col min="5131" max="5131" width="7.140625" style="9" customWidth="1"/>
    <col min="5132" max="5132" width="9.7109375" style="9" customWidth="1"/>
    <col min="5133" max="5382" width="9.140625" style="9"/>
    <col min="5383" max="5383" width="4" style="9" customWidth="1"/>
    <col min="5384" max="5384" width="11.5703125" style="9" customWidth="1"/>
    <col min="5385" max="5385" width="71" style="9" customWidth="1"/>
    <col min="5386" max="5386" width="10" style="9" customWidth="1"/>
    <col min="5387" max="5387" width="7.140625" style="9" customWidth="1"/>
    <col min="5388" max="5388" width="9.7109375" style="9" customWidth="1"/>
    <col min="5389" max="5638" width="9.140625" style="9"/>
    <col min="5639" max="5639" width="4" style="9" customWidth="1"/>
    <col min="5640" max="5640" width="11.5703125" style="9" customWidth="1"/>
    <col min="5641" max="5641" width="71" style="9" customWidth="1"/>
    <col min="5642" max="5642" width="10" style="9" customWidth="1"/>
    <col min="5643" max="5643" width="7.140625" style="9" customWidth="1"/>
    <col min="5644" max="5644" width="9.7109375" style="9" customWidth="1"/>
    <col min="5645" max="5894" width="9.140625" style="9"/>
    <col min="5895" max="5895" width="4" style="9" customWidth="1"/>
    <col min="5896" max="5896" width="11.5703125" style="9" customWidth="1"/>
    <col min="5897" max="5897" width="71" style="9" customWidth="1"/>
    <col min="5898" max="5898" width="10" style="9" customWidth="1"/>
    <col min="5899" max="5899" width="7.140625" style="9" customWidth="1"/>
    <col min="5900" max="5900" width="9.7109375" style="9" customWidth="1"/>
    <col min="5901" max="6150" width="9.140625" style="9"/>
    <col min="6151" max="6151" width="4" style="9" customWidth="1"/>
    <col min="6152" max="6152" width="11.5703125" style="9" customWidth="1"/>
    <col min="6153" max="6153" width="71" style="9" customWidth="1"/>
    <col min="6154" max="6154" width="10" style="9" customWidth="1"/>
    <col min="6155" max="6155" width="7.140625" style="9" customWidth="1"/>
    <col min="6156" max="6156" width="9.7109375" style="9" customWidth="1"/>
    <col min="6157" max="6406" width="9.140625" style="9"/>
    <col min="6407" max="6407" width="4" style="9" customWidth="1"/>
    <col min="6408" max="6408" width="11.5703125" style="9" customWidth="1"/>
    <col min="6409" max="6409" width="71" style="9" customWidth="1"/>
    <col min="6410" max="6410" width="10" style="9" customWidth="1"/>
    <col min="6411" max="6411" width="7.140625" style="9" customWidth="1"/>
    <col min="6412" max="6412" width="9.7109375" style="9" customWidth="1"/>
    <col min="6413" max="6662" width="9.140625" style="9"/>
    <col min="6663" max="6663" width="4" style="9" customWidth="1"/>
    <col min="6664" max="6664" width="11.5703125" style="9" customWidth="1"/>
    <col min="6665" max="6665" width="71" style="9" customWidth="1"/>
    <col min="6666" max="6666" width="10" style="9" customWidth="1"/>
    <col min="6667" max="6667" width="7.140625" style="9" customWidth="1"/>
    <col min="6668" max="6668" width="9.7109375" style="9" customWidth="1"/>
    <col min="6669" max="6918" width="9.140625" style="9"/>
    <col min="6919" max="6919" width="4" style="9" customWidth="1"/>
    <col min="6920" max="6920" width="11.5703125" style="9" customWidth="1"/>
    <col min="6921" max="6921" width="71" style="9" customWidth="1"/>
    <col min="6922" max="6922" width="10" style="9" customWidth="1"/>
    <col min="6923" max="6923" width="7.140625" style="9" customWidth="1"/>
    <col min="6924" max="6924" width="9.7109375" style="9" customWidth="1"/>
    <col min="6925" max="7174" width="9.140625" style="9"/>
    <col min="7175" max="7175" width="4" style="9" customWidth="1"/>
    <col min="7176" max="7176" width="11.5703125" style="9" customWidth="1"/>
    <col min="7177" max="7177" width="71" style="9" customWidth="1"/>
    <col min="7178" max="7178" width="10" style="9" customWidth="1"/>
    <col min="7179" max="7179" width="7.140625" style="9" customWidth="1"/>
    <col min="7180" max="7180" width="9.7109375" style="9" customWidth="1"/>
    <col min="7181" max="7430" width="9.140625" style="9"/>
    <col min="7431" max="7431" width="4" style="9" customWidth="1"/>
    <col min="7432" max="7432" width="11.5703125" style="9" customWidth="1"/>
    <col min="7433" max="7433" width="71" style="9" customWidth="1"/>
    <col min="7434" max="7434" width="10" style="9" customWidth="1"/>
    <col min="7435" max="7435" width="7.140625" style="9" customWidth="1"/>
    <col min="7436" max="7436" width="9.7109375" style="9" customWidth="1"/>
    <col min="7437" max="7686" width="9.140625" style="9"/>
    <col min="7687" max="7687" width="4" style="9" customWidth="1"/>
    <col min="7688" max="7688" width="11.5703125" style="9" customWidth="1"/>
    <col min="7689" max="7689" width="71" style="9" customWidth="1"/>
    <col min="7690" max="7690" width="10" style="9" customWidth="1"/>
    <col min="7691" max="7691" width="7.140625" style="9" customWidth="1"/>
    <col min="7692" max="7692" width="9.7109375" style="9" customWidth="1"/>
    <col min="7693" max="7942" width="9.140625" style="9"/>
    <col min="7943" max="7943" width="4" style="9" customWidth="1"/>
    <col min="7944" max="7944" width="11.5703125" style="9" customWidth="1"/>
    <col min="7945" max="7945" width="71" style="9" customWidth="1"/>
    <col min="7946" max="7946" width="10" style="9" customWidth="1"/>
    <col min="7947" max="7947" width="7.140625" style="9" customWidth="1"/>
    <col min="7948" max="7948" width="9.7109375" style="9" customWidth="1"/>
    <col min="7949" max="8198" width="9.140625" style="9"/>
    <col min="8199" max="8199" width="4" style="9" customWidth="1"/>
    <col min="8200" max="8200" width="11.5703125" style="9" customWidth="1"/>
    <col min="8201" max="8201" width="71" style="9" customWidth="1"/>
    <col min="8202" max="8202" width="10" style="9" customWidth="1"/>
    <col min="8203" max="8203" width="7.140625" style="9" customWidth="1"/>
    <col min="8204" max="8204" width="9.7109375" style="9" customWidth="1"/>
    <col min="8205" max="8454" width="9.140625" style="9"/>
    <col min="8455" max="8455" width="4" style="9" customWidth="1"/>
    <col min="8456" max="8456" width="11.5703125" style="9" customWidth="1"/>
    <col min="8457" max="8457" width="71" style="9" customWidth="1"/>
    <col min="8458" max="8458" width="10" style="9" customWidth="1"/>
    <col min="8459" max="8459" width="7.140625" style="9" customWidth="1"/>
    <col min="8460" max="8460" width="9.7109375" style="9" customWidth="1"/>
    <col min="8461" max="8710" width="9.140625" style="9"/>
    <col min="8711" max="8711" width="4" style="9" customWidth="1"/>
    <col min="8712" max="8712" width="11.5703125" style="9" customWidth="1"/>
    <col min="8713" max="8713" width="71" style="9" customWidth="1"/>
    <col min="8714" max="8714" width="10" style="9" customWidth="1"/>
    <col min="8715" max="8715" width="7.140625" style="9" customWidth="1"/>
    <col min="8716" max="8716" width="9.7109375" style="9" customWidth="1"/>
    <col min="8717" max="8966" width="9.140625" style="9"/>
    <col min="8967" max="8967" width="4" style="9" customWidth="1"/>
    <col min="8968" max="8968" width="11.5703125" style="9" customWidth="1"/>
    <col min="8969" max="8969" width="71" style="9" customWidth="1"/>
    <col min="8970" max="8970" width="10" style="9" customWidth="1"/>
    <col min="8971" max="8971" width="7.140625" style="9" customWidth="1"/>
    <col min="8972" max="8972" width="9.7109375" style="9" customWidth="1"/>
    <col min="8973" max="9222" width="9.140625" style="9"/>
    <col min="9223" max="9223" width="4" style="9" customWidth="1"/>
    <col min="9224" max="9224" width="11.5703125" style="9" customWidth="1"/>
    <col min="9225" max="9225" width="71" style="9" customWidth="1"/>
    <col min="9226" max="9226" width="10" style="9" customWidth="1"/>
    <col min="9227" max="9227" width="7.140625" style="9" customWidth="1"/>
    <col min="9228" max="9228" width="9.7109375" style="9" customWidth="1"/>
    <col min="9229" max="9478" width="9.140625" style="9"/>
    <col min="9479" max="9479" width="4" style="9" customWidth="1"/>
    <col min="9480" max="9480" width="11.5703125" style="9" customWidth="1"/>
    <col min="9481" max="9481" width="71" style="9" customWidth="1"/>
    <col min="9482" max="9482" width="10" style="9" customWidth="1"/>
    <col min="9483" max="9483" width="7.140625" style="9" customWidth="1"/>
    <col min="9484" max="9484" width="9.7109375" style="9" customWidth="1"/>
    <col min="9485" max="9734" width="9.140625" style="9"/>
    <col min="9735" max="9735" width="4" style="9" customWidth="1"/>
    <col min="9736" max="9736" width="11.5703125" style="9" customWidth="1"/>
    <col min="9737" max="9737" width="71" style="9" customWidth="1"/>
    <col min="9738" max="9738" width="10" style="9" customWidth="1"/>
    <col min="9739" max="9739" width="7.140625" style="9" customWidth="1"/>
    <col min="9740" max="9740" width="9.7109375" style="9" customWidth="1"/>
    <col min="9741" max="9990" width="9.140625" style="9"/>
    <col min="9991" max="9991" width="4" style="9" customWidth="1"/>
    <col min="9992" max="9992" width="11.5703125" style="9" customWidth="1"/>
    <col min="9993" max="9993" width="71" style="9" customWidth="1"/>
    <col min="9994" max="9994" width="10" style="9" customWidth="1"/>
    <col min="9995" max="9995" width="7.140625" style="9" customWidth="1"/>
    <col min="9996" max="9996" width="9.7109375" style="9" customWidth="1"/>
    <col min="9997" max="10246" width="9.140625" style="9"/>
    <col min="10247" max="10247" width="4" style="9" customWidth="1"/>
    <col min="10248" max="10248" width="11.5703125" style="9" customWidth="1"/>
    <col min="10249" max="10249" width="71" style="9" customWidth="1"/>
    <col min="10250" max="10250" width="10" style="9" customWidth="1"/>
    <col min="10251" max="10251" width="7.140625" style="9" customWidth="1"/>
    <col min="10252" max="10252" width="9.7109375" style="9" customWidth="1"/>
    <col min="10253" max="10502" width="9.140625" style="9"/>
    <col min="10503" max="10503" width="4" style="9" customWidth="1"/>
    <col min="10504" max="10504" width="11.5703125" style="9" customWidth="1"/>
    <col min="10505" max="10505" width="71" style="9" customWidth="1"/>
    <col min="10506" max="10506" width="10" style="9" customWidth="1"/>
    <col min="10507" max="10507" width="7.140625" style="9" customWidth="1"/>
    <col min="10508" max="10508" width="9.7109375" style="9" customWidth="1"/>
    <col min="10509" max="10758" width="9.140625" style="9"/>
    <col min="10759" max="10759" width="4" style="9" customWidth="1"/>
    <col min="10760" max="10760" width="11.5703125" style="9" customWidth="1"/>
    <col min="10761" max="10761" width="71" style="9" customWidth="1"/>
    <col min="10762" max="10762" width="10" style="9" customWidth="1"/>
    <col min="10763" max="10763" width="7.140625" style="9" customWidth="1"/>
    <col min="10764" max="10764" width="9.7109375" style="9" customWidth="1"/>
    <col min="10765" max="11014" width="9.140625" style="9"/>
    <col min="11015" max="11015" width="4" style="9" customWidth="1"/>
    <col min="11016" max="11016" width="11.5703125" style="9" customWidth="1"/>
    <col min="11017" max="11017" width="71" style="9" customWidth="1"/>
    <col min="11018" max="11018" width="10" style="9" customWidth="1"/>
    <col min="11019" max="11019" width="7.140625" style="9" customWidth="1"/>
    <col min="11020" max="11020" width="9.7109375" style="9" customWidth="1"/>
    <col min="11021" max="11270" width="9.140625" style="9"/>
    <col min="11271" max="11271" width="4" style="9" customWidth="1"/>
    <col min="11272" max="11272" width="11.5703125" style="9" customWidth="1"/>
    <col min="11273" max="11273" width="71" style="9" customWidth="1"/>
    <col min="11274" max="11274" width="10" style="9" customWidth="1"/>
    <col min="11275" max="11275" width="7.140625" style="9" customWidth="1"/>
    <col min="11276" max="11276" width="9.7109375" style="9" customWidth="1"/>
    <col min="11277" max="11526" width="9.140625" style="9"/>
    <col min="11527" max="11527" width="4" style="9" customWidth="1"/>
    <col min="11528" max="11528" width="11.5703125" style="9" customWidth="1"/>
    <col min="11529" max="11529" width="71" style="9" customWidth="1"/>
    <col min="11530" max="11530" width="10" style="9" customWidth="1"/>
    <col min="11531" max="11531" width="7.140625" style="9" customWidth="1"/>
    <col min="11532" max="11532" width="9.7109375" style="9" customWidth="1"/>
    <col min="11533" max="11782" width="9.140625" style="9"/>
    <col min="11783" max="11783" width="4" style="9" customWidth="1"/>
    <col min="11784" max="11784" width="11.5703125" style="9" customWidth="1"/>
    <col min="11785" max="11785" width="71" style="9" customWidth="1"/>
    <col min="11786" max="11786" width="10" style="9" customWidth="1"/>
    <col min="11787" max="11787" width="7.140625" style="9" customWidth="1"/>
    <col min="11788" max="11788" width="9.7109375" style="9" customWidth="1"/>
    <col min="11789" max="12038" width="9.140625" style="9"/>
    <col min="12039" max="12039" width="4" style="9" customWidth="1"/>
    <col min="12040" max="12040" width="11.5703125" style="9" customWidth="1"/>
    <col min="12041" max="12041" width="71" style="9" customWidth="1"/>
    <col min="12042" max="12042" width="10" style="9" customWidth="1"/>
    <col min="12043" max="12043" width="7.140625" style="9" customWidth="1"/>
    <col min="12044" max="12044" width="9.7109375" style="9" customWidth="1"/>
    <col min="12045" max="12294" width="9.140625" style="9"/>
    <col min="12295" max="12295" width="4" style="9" customWidth="1"/>
    <col min="12296" max="12296" width="11.5703125" style="9" customWidth="1"/>
    <col min="12297" max="12297" width="71" style="9" customWidth="1"/>
    <col min="12298" max="12298" width="10" style="9" customWidth="1"/>
    <col min="12299" max="12299" width="7.140625" style="9" customWidth="1"/>
    <col min="12300" max="12300" width="9.7109375" style="9" customWidth="1"/>
    <col min="12301" max="12550" width="9.140625" style="9"/>
    <col min="12551" max="12551" width="4" style="9" customWidth="1"/>
    <col min="12552" max="12552" width="11.5703125" style="9" customWidth="1"/>
    <col min="12553" max="12553" width="71" style="9" customWidth="1"/>
    <col min="12554" max="12554" width="10" style="9" customWidth="1"/>
    <col min="12555" max="12555" width="7.140625" style="9" customWidth="1"/>
    <col min="12556" max="12556" width="9.7109375" style="9" customWidth="1"/>
    <col min="12557" max="12806" width="9.140625" style="9"/>
    <col min="12807" max="12807" width="4" style="9" customWidth="1"/>
    <col min="12808" max="12808" width="11.5703125" style="9" customWidth="1"/>
    <col min="12809" max="12809" width="71" style="9" customWidth="1"/>
    <col min="12810" max="12810" width="10" style="9" customWidth="1"/>
    <col min="12811" max="12811" width="7.140625" style="9" customWidth="1"/>
    <col min="12812" max="12812" width="9.7109375" style="9" customWidth="1"/>
    <col min="12813" max="13062" width="9.140625" style="9"/>
    <col min="13063" max="13063" width="4" style="9" customWidth="1"/>
    <col min="13064" max="13064" width="11.5703125" style="9" customWidth="1"/>
    <col min="13065" max="13065" width="71" style="9" customWidth="1"/>
    <col min="13066" max="13066" width="10" style="9" customWidth="1"/>
    <col min="13067" max="13067" width="7.140625" style="9" customWidth="1"/>
    <col min="13068" max="13068" width="9.7109375" style="9" customWidth="1"/>
    <col min="13069" max="13318" width="9.140625" style="9"/>
    <col min="13319" max="13319" width="4" style="9" customWidth="1"/>
    <col min="13320" max="13320" width="11.5703125" style="9" customWidth="1"/>
    <col min="13321" max="13321" width="71" style="9" customWidth="1"/>
    <col min="13322" max="13322" width="10" style="9" customWidth="1"/>
    <col min="13323" max="13323" width="7.140625" style="9" customWidth="1"/>
    <col min="13324" max="13324" width="9.7109375" style="9" customWidth="1"/>
    <col min="13325" max="13574" width="9.140625" style="9"/>
    <col min="13575" max="13575" width="4" style="9" customWidth="1"/>
    <col min="13576" max="13576" width="11.5703125" style="9" customWidth="1"/>
    <col min="13577" max="13577" width="71" style="9" customWidth="1"/>
    <col min="13578" max="13578" width="10" style="9" customWidth="1"/>
    <col min="13579" max="13579" width="7.140625" style="9" customWidth="1"/>
    <col min="13580" max="13580" width="9.7109375" style="9" customWidth="1"/>
    <col min="13581" max="13830" width="9.140625" style="9"/>
    <col min="13831" max="13831" width="4" style="9" customWidth="1"/>
    <col min="13832" max="13832" width="11.5703125" style="9" customWidth="1"/>
    <col min="13833" max="13833" width="71" style="9" customWidth="1"/>
    <col min="13834" max="13834" width="10" style="9" customWidth="1"/>
    <col min="13835" max="13835" width="7.140625" style="9" customWidth="1"/>
    <col min="13836" max="13836" width="9.7109375" style="9" customWidth="1"/>
    <col min="13837" max="14086" width="9.140625" style="9"/>
    <col min="14087" max="14087" width="4" style="9" customWidth="1"/>
    <col min="14088" max="14088" width="11.5703125" style="9" customWidth="1"/>
    <col min="14089" max="14089" width="71" style="9" customWidth="1"/>
    <col min="14090" max="14090" width="10" style="9" customWidth="1"/>
    <col min="14091" max="14091" width="7.140625" style="9" customWidth="1"/>
    <col min="14092" max="14092" width="9.7109375" style="9" customWidth="1"/>
    <col min="14093" max="14342" width="9.140625" style="9"/>
    <col min="14343" max="14343" width="4" style="9" customWidth="1"/>
    <col min="14344" max="14344" width="11.5703125" style="9" customWidth="1"/>
    <col min="14345" max="14345" width="71" style="9" customWidth="1"/>
    <col min="14346" max="14346" width="10" style="9" customWidth="1"/>
    <col min="14347" max="14347" width="7.140625" style="9" customWidth="1"/>
    <col min="14348" max="14348" width="9.7109375" style="9" customWidth="1"/>
    <col min="14349" max="14598" width="9.140625" style="9"/>
    <col min="14599" max="14599" width="4" style="9" customWidth="1"/>
    <col min="14600" max="14600" width="11.5703125" style="9" customWidth="1"/>
    <col min="14601" max="14601" width="71" style="9" customWidth="1"/>
    <col min="14602" max="14602" width="10" style="9" customWidth="1"/>
    <col min="14603" max="14603" width="7.140625" style="9" customWidth="1"/>
    <col min="14604" max="14604" width="9.7109375" style="9" customWidth="1"/>
    <col min="14605" max="14854" width="9.140625" style="9"/>
    <col min="14855" max="14855" width="4" style="9" customWidth="1"/>
    <col min="14856" max="14856" width="11.5703125" style="9" customWidth="1"/>
    <col min="14857" max="14857" width="71" style="9" customWidth="1"/>
    <col min="14858" max="14858" width="10" style="9" customWidth="1"/>
    <col min="14859" max="14859" width="7.140625" style="9" customWidth="1"/>
    <col min="14860" max="14860" width="9.7109375" style="9" customWidth="1"/>
    <col min="14861" max="15110" width="9.140625" style="9"/>
    <col min="15111" max="15111" width="4" style="9" customWidth="1"/>
    <col min="15112" max="15112" width="11.5703125" style="9" customWidth="1"/>
    <col min="15113" max="15113" width="71" style="9" customWidth="1"/>
    <col min="15114" max="15114" width="10" style="9" customWidth="1"/>
    <col min="15115" max="15115" width="7.140625" style="9" customWidth="1"/>
    <col min="15116" max="15116" width="9.7109375" style="9" customWidth="1"/>
    <col min="15117" max="15366" width="9.140625" style="9"/>
    <col min="15367" max="15367" width="4" style="9" customWidth="1"/>
    <col min="15368" max="15368" width="11.5703125" style="9" customWidth="1"/>
    <col min="15369" max="15369" width="71" style="9" customWidth="1"/>
    <col min="15370" max="15370" width="10" style="9" customWidth="1"/>
    <col min="15371" max="15371" width="7.140625" style="9" customWidth="1"/>
    <col min="15372" max="15372" width="9.7109375" style="9" customWidth="1"/>
    <col min="15373" max="15622" width="9.140625" style="9"/>
    <col min="15623" max="15623" width="4" style="9" customWidth="1"/>
    <col min="15624" max="15624" width="11.5703125" style="9" customWidth="1"/>
    <col min="15625" max="15625" width="71" style="9" customWidth="1"/>
    <col min="15626" max="15626" width="10" style="9" customWidth="1"/>
    <col min="15627" max="15627" width="7.140625" style="9" customWidth="1"/>
    <col min="15628" max="15628" width="9.7109375" style="9" customWidth="1"/>
    <col min="15629" max="15878" width="9.140625" style="9"/>
    <col min="15879" max="15879" width="4" style="9" customWidth="1"/>
    <col min="15880" max="15880" width="11.5703125" style="9" customWidth="1"/>
    <col min="15881" max="15881" width="71" style="9" customWidth="1"/>
    <col min="15882" max="15882" width="10" style="9" customWidth="1"/>
    <col min="15883" max="15883" width="7.140625" style="9" customWidth="1"/>
    <col min="15884" max="15884" width="9.7109375" style="9" customWidth="1"/>
    <col min="15885" max="16134" width="9.140625" style="9"/>
    <col min="16135" max="16135" width="4" style="9" customWidth="1"/>
    <col min="16136" max="16136" width="11.5703125" style="9" customWidth="1"/>
    <col min="16137" max="16137" width="71" style="9" customWidth="1"/>
    <col min="16138" max="16138" width="10" style="9" customWidth="1"/>
    <col min="16139" max="16139" width="7.140625" style="9" customWidth="1"/>
    <col min="16140" max="16140" width="9.7109375" style="9" customWidth="1"/>
    <col min="16141" max="16384" width="9.140625" style="9"/>
  </cols>
  <sheetData>
    <row r="1" spans="1:86" ht="8.1" customHeight="1">
      <c r="B1" s="2"/>
      <c r="C1" s="2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O1" s="5"/>
    </row>
    <row r="2" spans="1:86" s="8" customFormat="1" ht="6" customHeight="1">
      <c r="A2" s="1"/>
      <c r="B2" s="2"/>
      <c r="C2" s="10"/>
      <c r="D2" s="10"/>
      <c r="E2" s="10"/>
      <c r="F2" s="10"/>
      <c r="G2" s="11"/>
      <c r="H2" s="11"/>
      <c r="I2" s="11"/>
      <c r="J2" s="12"/>
      <c r="K2" s="13"/>
      <c r="L2" s="12"/>
      <c r="M2" s="14"/>
      <c r="N2" s="14"/>
      <c r="O2" s="14"/>
      <c r="P2" s="2"/>
      <c r="Q2" s="6"/>
      <c r="R2" s="7"/>
      <c r="S2" s="7"/>
    </row>
    <row r="3" spans="1:86" ht="18.75" customHeight="1">
      <c r="A3" s="1">
        <v>1</v>
      </c>
      <c r="B3" s="2"/>
      <c r="C3" s="423" t="s">
        <v>80</v>
      </c>
      <c r="D3" s="423"/>
      <c r="E3" s="423"/>
      <c r="F3" s="423"/>
      <c r="G3" s="120" t="s">
        <v>78</v>
      </c>
      <c r="H3" s="10" t="s">
        <v>69</v>
      </c>
      <c r="I3" s="121">
        <v>600</v>
      </c>
      <c r="J3" s="12"/>
      <c r="K3" s="423" t="s">
        <v>71</v>
      </c>
      <c r="L3" s="423"/>
      <c r="M3" s="121">
        <v>16</v>
      </c>
      <c r="N3" s="414"/>
      <c r="O3" s="14"/>
    </row>
    <row r="4" spans="1:86" ht="3" customHeight="1">
      <c r="B4" s="2"/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414"/>
      <c r="O4" s="14"/>
    </row>
    <row r="5" spans="1:86" ht="18.75" customHeight="1">
      <c r="B5" s="2"/>
      <c r="C5" s="424" t="str">
        <f ca="1">IF(Корректор&gt;=1,"ОБРАТИТЕСЬ К ПОСТАВЩИКУ ЗА ОБНОВЛЕНИЕМ!","")</f>
        <v/>
      </c>
      <c r="D5" s="424"/>
      <c r="E5" s="424"/>
      <c r="F5" s="424"/>
      <c r="G5" s="17"/>
      <c r="H5" s="10" t="s">
        <v>70</v>
      </c>
      <c r="I5" s="121">
        <v>800</v>
      </c>
      <c r="J5" s="12"/>
      <c r="K5" s="423" t="s">
        <v>74</v>
      </c>
      <c r="L5" s="423"/>
      <c r="M5" s="18">
        <f>ВесФасадаРасчет</f>
        <v>5.9367999999999999</v>
      </c>
      <c r="N5" s="414"/>
      <c r="O5" s="14"/>
    </row>
    <row r="6" spans="1:86" s="24" customFormat="1" ht="6" customHeight="1">
      <c r="A6" s="1"/>
      <c r="B6" s="19"/>
      <c r="C6" s="20"/>
      <c r="D6" s="20"/>
      <c r="E6" s="20"/>
      <c r="F6" s="20"/>
      <c r="G6" s="21"/>
      <c r="H6" s="16"/>
      <c r="I6" s="22"/>
      <c r="J6" s="12"/>
      <c r="K6" s="16"/>
      <c r="L6" s="16"/>
      <c r="M6" s="23"/>
      <c r="N6" s="414"/>
      <c r="O6" s="14"/>
      <c r="P6" s="2"/>
      <c r="Q6" s="6"/>
      <c r="R6" s="7"/>
      <c r="S6" s="7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</row>
    <row r="7" spans="1:86" s="24" customFormat="1" ht="18" customHeight="1">
      <c r="A7" s="1"/>
      <c r="B7" s="2"/>
      <c r="C7" s="424" t="str">
        <f ca="1">$C$5</f>
        <v/>
      </c>
      <c r="D7" s="424"/>
      <c r="E7" s="424"/>
      <c r="F7" s="424"/>
      <c r="G7" s="422" t="s">
        <v>239</v>
      </c>
      <c r="H7" s="422"/>
      <c r="I7" s="422"/>
      <c r="J7" s="422"/>
      <c r="K7" s="422"/>
      <c r="L7" s="422"/>
      <c r="M7" s="122" t="s">
        <v>197</v>
      </c>
      <c r="N7" s="414"/>
      <c r="O7" s="14"/>
      <c r="P7" s="2"/>
      <c r="Q7" s="6"/>
      <c r="R7" s="7"/>
      <c r="S7" s="7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</row>
    <row r="8" spans="1:86" ht="3" customHeight="1">
      <c r="B8" s="2"/>
      <c r="C8" s="15"/>
      <c r="D8" s="15"/>
      <c r="E8" s="15"/>
      <c r="F8" s="15"/>
      <c r="G8" s="16"/>
      <c r="H8" s="16"/>
      <c r="I8" s="16"/>
      <c r="J8" s="16"/>
      <c r="K8" s="16"/>
      <c r="L8" s="16"/>
      <c r="M8" s="16"/>
      <c r="N8" s="414"/>
      <c r="O8" s="14"/>
    </row>
    <row r="9" spans="1:86" ht="18.75" customHeight="1">
      <c r="B9" s="19"/>
      <c r="C9" s="424" t="str">
        <f ca="1">$C$5</f>
        <v/>
      </c>
      <c r="D9" s="424"/>
      <c r="E9" s="424"/>
      <c r="F9" s="424"/>
      <c r="G9" s="422" t="s">
        <v>201</v>
      </c>
      <c r="H9" s="422"/>
      <c r="I9" s="422"/>
      <c r="J9" s="422"/>
      <c r="K9" s="422"/>
      <c r="L9" s="422"/>
      <c r="M9" s="123" t="s">
        <v>186</v>
      </c>
      <c r="N9" s="414"/>
      <c r="O9" s="14"/>
    </row>
    <row r="10" spans="1:86" ht="3" customHeight="1">
      <c r="B10" s="19"/>
      <c r="C10" s="20"/>
      <c r="D10" s="20"/>
      <c r="E10" s="20"/>
      <c r="F10" s="20"/>
      <c r="G10" s="21"/>
      <c r="H10" s="16"/>
      <c r="I10" s="22"/>
      <c r="J10" s="12"/>
      <c r="K10" s="16"/>
      <c r="L10" s="16"/>
      <c r="M10" s="23"/>
      <c r="N10" s="414"/>
      <c r="O10" s="14"/>
    </row>
    <row r="11" spans="1:86" ht="18.75" customHeight="1">
      <c r="B11" s="19"/>
      <c r="C11" s="424" t="str">
        <f ca="1">$C$5</f>
        <v/>
      </c>
      <c r="D11" s="424"/>
      <c r="E11" s="424"/>
      <c r="F11" s="424"/>
      <c r="G11" s="422" t="s">
        <v>255</v>
      </c>
      <c r="H11" s="422"/>
      <c r="I11" s="422"/>
      <c r="J11" s="422"/>
      <c r="K11" s="422"/>
      <c r="L11" s="422"/>
      <c r="M11" s="123" t="s">
        <v>186</v>
      </c>
      <c r="N11" s="414"/>
      <c r="O11" s="14"/>
    </row>
    <row r="12" spans="1:86" ht="3" customHeight="1">
      <c r="B12" s="19"/>
      <c r="C12" s="20"/>
      <c r="D12" s="20"/>
      <c r="E12" s="20"/>
      <c r="F12" s="20"/>
      <c r="G12" s="21"/>
      <c r="H12" s="16"/>
      <c r="I12" s="22"/>
      <c r="J12" s="12"/>
      <c r="K12" s="16"/>
      <c r="L12" s="16"/>
      <c r="M12" s="23"/>
      <c r="N12" s="414"/>
      <c r="O12" s="14"/>
    </row>
    <row r="13" spans="1:86" ht="18.75" customHeight="1">
      <c r="B13" s="2"/>
      <c r="C13" s="424" t="str">
        <f ca="1">$C$5</f>
        <v/>
      </c>
      <c r="D13" s="424"/>
      <c r="E13" s="424"/>
      <c r="F13" s="424"/>
      <c r="G13" s="422" t="s">
        <v>196</v>
      </c>
      <c r="H13" s="422"/>
      <c r="I13" s="422"/>
      <c r="J13" s="422"/>
      <c r="K13" s="422"/>
      <c r="L13" s="422"/>
      <c r="M13" s="123" t="s">
        <v>186</v>
      </c>
      <c r="N13" s="414"/>
      <c r="O13" s="14"/>
    </row>
    <row r="14" spans="1:86" ht="6" customHeight="1">
      <c r="B14" s="19"/>
      <c r="C14" s="25"/>
      <c r="D14" s="26"/>
      <c r="E14" s="26"/>
      <c r="F14" s="27"/>
      <c r="G14" s="12"/>
      <c r="H14" s="16"/>
      <c r="I14" s="28"/>
      <c r="J14" s="12"/>
      <c r="K14" s="16"/>
      <c r="L14" s="16"/>
      <c r="M14" s="23"/>
      <c r="N14" s="23"/>
      <c r="O14" s="29"/>
    </row>
    <row r="15" spans="1:86" ht="21" customHeight="1">
      <c r="B15" s="2"/>
      <c r="C15" s="30" t="s">
        <v>50</v>
      </c>
      <c r="D15" s="31"/>
      <c r="E15" s="31"/>
      <c r="F15" s="31"/>
      <c r="G15" s="32" t="s">
        <v>31</v>
      </c>
      <c r="H15" s="32"/>
      <c r="I15" s="32"/>
      <c r="J15" s="33"/>
      <c r="K15" s="34"/>
      <c r="L15" s="34"/>
      <c r="M15" s="35"/>
      <c r="N15" s="35"/>
      <c r="O15" s="35"/>
      <c r="R15" s="1"/>
      <c r="S15" s="115"/>
    </row>
    <row r="16" spans="1:86" ht="21" customHeight="1" thickBot="1">
      <c r="B16" s="2"/>
      <c r="C16" s="24"/>
      <c r="D16" s="36"/>
      <c r="E16" s="317"/>
      <c r="F16" s="37"/>
      <c r="G16" s="38"/>
      <c r="H16" s="38"/>
      <c r="I16" s="38"/>
      <c r="J16" s="36"/>
      <c r="K16" s="36"/>
      <c r="L16" s="38" t="s">
        <v>187</v>
      </c>
      <c r="M16" s="39"/>
      <c r="N16" s="39"/>
      <c r="O16" s="38"/>
      <c r="R16" s="1"/>
      <c r="S16" s="115"/>
    </row>
    <row r="17" spans="1:86" s="40" customFormat="1" ht="18" customHeight="1" thickTop="1" thickBot="1">
      <c r="B17" s="2"/>
      <c r="C17" s="41">
        <f>IFERROR(SMALL(FFDKey,1),0)</f>
        <v>7</v>
      </c>
      <c r="D17" s="42" t="s">
        <v>0</v>
      </c>
      <c r="E17" s="43">
        <v>1</v>
      </c>
      <c r="F17" s="44" t="s">
        <v>1</v>
      </c>
      <c r="G17" s="44" t="s">
        <v>2</v>
      </c>
      <c r="H17" s="44"/>
      <c r="I17" s="44"/>
      <c r="J17" s="44" t="s">
        <v>59</v>
      </c>
      <c r="K17" s="44" t="s">
        <v>3</v>
      </c>
      <c r="L17" s="44" t="s">
        <v>34</v>
      </c>
      <c r="M17" s="44"/>
      <c r="N17" s="45" t="s">
        <v>200</v>
      </c>
      <c r="O17" s="46"/>
      <c r="P17" s="2"/>
      <c r="Q17" s="6"/>
      <c r="R17" s="7"/>
      <c r="S17" s="7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</row>
    <row r="18" spans="1:86" s="24" customFormat="1" ht="18" customHeight="1" thickTop="1">
      <c r="B18" s="2"/>
      <c r="C18" s="41">
        <f t="shared" ref="C18:C26" ca="1" si="0">MATCH(E18,ИндексСправ,0)</f>
        <v>41</v>
      </c>
      <c r="D18" s="47">
        <v>1</v>
      </c>
      <c r="E18" s="48" t="str">
        <f ca="1">INDEX(FFD_Арт,FFDIndex,1+Корректор)</f>
        <v>372.37.459</v>
      </c>
      <c r="F18" s="48" t="str">
        <f ca="1">IF(E18&lt;&gt;0,E18,"")</f>
        <v>372.37.459</v>
      </c>
      <c r="G18" s="419" t="str">
        <f t="shared" ref="G18:G26" ca="1" si="1">IF(F18&lt;&gt;"",INDEX(СправАссорт,фСправТовар,4),"")</f>
        <v>Подъемный механизм FREE FOLD - H4f0; правый</v>
      </c>
      <c r="H18" s="420"/>
      <c r="I18" s="421"/>
      <c r="J18" s="47">
        <f ca="1">IF(F18&lt;&gt;"",1,"")</f>
        <v>1</v>
      </c>
      <c r="K18" s="49" t="str">
        <f ca="1">IF($F18&lt;&gt;"",Таб_Вес!$AC$35,"")</f>
        <v>шт</v>
      </c>
      <c r="L18" s="50">
        <f t="shared" ref="L18:L26" ca="1" si="2">IF(AND(J18&lt;&gt;"",M18=""),INDEX(СправАссорт,C18,7),"")</f>
        <v>0</v>
      </c>
      <c r="M18" s="407"/>
      <c r="N18" s="51">
        <f ca="1">IF(J18&lt;&gt;"",J18*LARGE(L18:M18,1),"")</f>
        <v>0</v>
      </c>
      <c r="O18" s="52"/>
      <c r="P18" s="19"/>
      <c r="Q18" s="6"/>
      <c r="R18" s="7"/>
      <c r="S18" s="7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</row>
    <row r="19" spans="1:86" s="24" customFormat="1" ht="18" customHeight="1">
      <c r="B19" s="2"/>
      <c r="C19" s="41">
        <f t="shared" ca="1" si="0"/>
        <v>54</v>
      </c>
      <c r="D19" s="53">
        <v>2</v>
      </c>
      <c r="E19" s="406" t="str">
        <f ca="1">INDEX(FFD_Арт,FFDIndex,2+Корректор)</f>
        <v>372.37.460</v>
      </c>
      <c r="F19" s="48" t="str">
        <f t="shared" ref="F19:F22" ca="1" si="3">IF(E19&lt;&gt;0,E19,"")</f>
        <v>372.37.460</v>
      </c>
      <c r="G19" s="419" t="str">
        <f t="shared" ca="1" si="1"/>
        <v>Подъемный механизм FREE FOLD - H4f0; левый</v>
      </c>
      <c r="H19" s="420"/>
      <c r="I19" s="421"/>
      <c r="J19" s="47">
        <f ca="1">IF(F19&lt;&gt;"",1,"")</f>
        <v>1</v>
      </c>
      <c r="K19" s="49" t="str">
        <f ca="1">IF($F19&lt;&gt;"",Таб_Вес!$AC$35,"")</f>
        <v>шт</v>
      </c>
      <c r="L19" s="50">
        <f t="shared" ca="1" si="2"/>
        <v>0</v>
      </c>
      <c r="M19" s="408"/>
      <c r="N19" s="54">
        <f t="shared" ref="N19:N26" ca="1" si="4">IF(J19&lt;&gt;"",J19*LARGE(L19:M19,1),"")</f>
        <v>0</v>
      </c>
      <c r="O19" s="52"/>
      <c r="P19" s="19"/>
      <c r="Q19" s="6"/>
      <c r="R19" s="7"/>
      <c r="S19" s="7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</row>
    <row r="20" spans="1:86" s="40" customFormat="1" ht="18" customHeight="1">
      <c r="B20" s="2"/>
      <c r="C20" s="41">
        <f t="shared" ca="1" si="0"/>
        <v>7</v>
      </c>
      <c r="D20" s="53">
        <v>3</v>
      </c>
      <c r="E20" s="48" t="str">
        <f ca="1">VLOOKUP(FFDЦвет,Справ!$E$40:$G$41,2+Корректор,0)</f>
        <v>372.37.026</v>
      </c>
      <c r="F20" s="48" t="str">
        <f t="shared" ca="1" si="3"/>
        <v>372.37.026</v>
      </c>
      <c r="G20" s="419" t="str">
        <f t="shared" ca="1" si="1"/>
        <v>Заглушка FREE FOLD белая</v>
      </c>
      <c r="H20" s="420"/>
      <c r="I20" s="421"/>
      <c r="J20" s="47">
        <f ca="1">IF(F20&lt;&gt;"",1,"")</f>
        <v>1</v>
      </c>
      <c r="K20" s="49" t="str">
        <f ca="1">IF($F20&lt;&gt;"",Таб_Вес!$AC$35,"")</f>
        <v>шт</v>
      </c>
      <c r="L20" s="50">
        <f t="shared" ca="1" si="2"/>
        <v>0</v>
      </c>
      <c r="M20" s="408"/>
      <c r="N20" s="54">
        <f t="shared" ca="1" si="4"/>
        <v>0</v>
      </c>
      <c r="O20" s="52"/>
      <c r="P20" s="19"/>
      <c r="Q20" s="6"/>
      <c r="R20" s="7"/>
      <c r="S20" s="7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</row>
    <row r="21" spans="1:86" s="40" customFormat="1" ht="18" customHeight="1">
      <c r="B21" s="2"/>
      <c r="C21" s="41">
        <f t="shared" ca="1" si="0"/>
        <v>8</v>
      </c>
      <c r="D21" s="55">
        <v>4</v>
      </c>
      <c r="E21" s="405" t="str">
        <f ca="1">INDEX(Карта!$B$2:$S$22,ROW()-ROW($D$17),INDIRECT(ADDRESS(ROW($D$17),COLUMN()),1)*2-1+Корректор)</f>
        <v>372.37.040</v>
      </c>
      <c r="F21" s="57" t="str">
        <f ca="1">IF(AND(E21&lt;&gt;0,E19&lt;&gt;0),E21,"")</f>
        <v>372.37.040</v>
      </c>
      <c r="G21" s="416" t="str">
        <f t="shared" ca="1" si="1"/>
        <v>Крепления к фасаду FREE FOLD</v>
      </c>
      <c r="H21" s="417"/>
      <c r="I21" s="418"/>
      <c r="J21" s="55">
        <f ca="1">IF(F21&lt;&gt;"",2,"")</f>
        <v>2</v>
      </c>
      <c r="K21" s="57" t="str">
        <f ca="1">IF($F21&lt;&gt;"",Таб_Вес!$AC$35,"")</f>
        <v>шт</v>
      </c>
      <c r="L21" s="58">
        <f t="shared" ca="1" si="2"/>
        <v>0</v>
      </c>
      <c r="M21" s="409"/>
      <c r="N21" s="59">
        <f t="shared" ca="1" si="4"/>
        <v>0</v>
      </c>
      <c r="O21" s="52"/>
      <c r="P21" s="19"/>
      <c r="Q21" s="6"/>
      <c r="R21" s="7"/>
      <c r="S21" s="7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</row>
    <row r="22" spans="1:86" s="24" customFormat="1" ht="18" customHeight="1">
      <c r="B22" s="2"/>
      <c r="C22" s="41">
        <f t="shared" ca="1" si="0"/>
        <v>10</v>
      </c>
      <c r="D22" s="55">
        <v>5</v>
      </c>
      <c r="E22" s="56" t="str">
        <f ca="1">INDEX(Карта!$B$2:$S$22,ROW()-ROW($D$17),INDIRECT(ADDRESS(ROW($D$17),COLUMN()),1)*2-1+Корректор)</f>
        <v>372.64.796</v>
      </c>
      <c r="F22" s="57" t="str">
        <f t="shared" ca="1" si="3"/>
        <v>372.64.796</v>
      </c>
      <c r="G22" s="416" t="str">
        <f t="shared" ca="1" si="1"/>
        <v>Средняя петля для двух секционных складных фасадов (с защитой от защемл. пальцев)</v>
      </c>
      <c r="H22" s="417"/>
      <c r="I22" s="418"/>
      <c r="J22" s="55">
        <f ca="1">IF(F22&lt;&gt;"",2,"")</f>
        <v>2</v>
      </c>
      <c r="K22" s="57" t="str">
        <f ca="1">IF($F22&lt;&gt;"",Таб_Вес!$AC$35,"")</f>
        <v>шт</v>
      </c>
      <c r="L22" s="58">
        <f t="shared" ca="1" si="2"/>
        <v>0</v>
      </c>
      <c r="M22" s="409"/>
      <c r="N22" s="59">
        <f t="shared" ca="1" si="4"/>
        <v>0</v>
      </c>
      <c r="O22" s="52"/>
      <c r="P22" s="19"/>
      <c r="Q22" s="6"/>
      <c r="R22" s="7"/>
      <c r="S22" s="7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</row>
    <row r="23" spans="1:86" s="24" customFormat="1" ht="18" customHeight="1">
      <c r="B23" s="2"/>
      <c r="C23" s="41">
        <f t="shared" ca="1" si="0"/>
        <v>138</v>
      </c>
      <c r="D23" s="60" t="str">
        <f>IF(F23&lt;&gt;"",LARGE(D18:D22,1)+1,"")</f>
        <v/>
      </c>
      <c r="E23" s="61" t="str">
        <f ca="1">INDEX(Карта!$B$2:$S$22,ROW()-ROW($D$17),INDIRECT(ADDRESS(ROW($D$17),COLUMN()),1)*2-1+Корректор)</f>
        <v>329.03.640</v>
      </c>
      <c r="F23" s="62" t="str">
        <f>IF($M$9=Таб_Вес!$AC$25,E23,"")</f>
        <v/>
      </c>
      <c r="G23" s="415" t="str">
        <f t="shared" si="1"/>
        <v/>
      </c>
      <c r="H23" s="415"/>
      <c r="I23" s="415"/>
      <c r="J23" s="53" t="str">
        <f>IF(F23&lt;&gt;"",2,"")</f>
        <v/>
      </c>
      <c r="K23" s="62" t="str">
        <f>IF($F23&lt;&gt;"",Таб_Вес!$AC$35,"")</f>
        <v/>
      </c>
      <c r="L23" s="63" t="str">
        <f t="shared" si="2"/>
        <v/>
      </c>
      <c r="M23" s="410"/>
      <c r="N23" s="64" t="str">
        <f t="shared" si="4"/>
        <v/>
      </c>
      <c r="O23" s="52"/>
      <c r="P23" s="19"/>
      <c r="Q23" s="6"/>
      <c r="R23" s="7"/>
      <c r="S23" s="7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</row>
    <row r="24" spans="1:86" s="24" customFormat="1" ht="18" customHeight="1">
      <c r="B24" s="2"/>
      <c r="C24" s="41">
        <f t="shared" ca="1" si="0"/>
        <v>139</v>
      </c>
      <c r="D24" s="60" t="str">
        <f>IF(F24&lt;&gt;"",LARGE(D18:D23,1)+1,"")</f>
        <v/>
      </c>
      <c r="E24" s="61" t="str">
        <f ca="1">INDEX(Карта!$B$2:$S$22,ROW()-ROW($D$17),INDIRECT(ADDRESS(ROW($D$17),COLUMN()),1)*2-1+Корректор)</f>
        <v>329.73.503</v>
      </c>
      <c r="F24" s="62" t="str">
        <f>IF($M$9=Таб_Вес!$AC$25,E24,"")</f>
        <v/>
      </c>
      <c r="G24" s="415" t="str">
        <f t="shared" si="1"/>
        <v/>
      </c>
      <c r="H24" s="415"/>
      <c r="I24" s="415"/>
      <c r="J24" s="53" t="str">
        <f>IF(F24&lt;&gt;"",2,"")</f>
        <v/>
      </c>
      <c r="K24" s="62" t="str">
        <f>IF($F24&lt;&gt;"",Таб_Вес!$AC$35,"")</f>
        <v/>
      </c>
      <c r="L24" s="63" t="str">
        <f t="shared" si="2"/>
        <v/>
      </c>
      <c r="M24" s="410"/>
      <c r="N24" s="64" t="str">
        <f t="shared" si="4"/>
        <v/>
      </c>
      <c r="O24" s="52"/>
      <c r="P24" s="19"/>
      <c r="Q24" s="6"/>
      <c r="R24" s="7"/>
      <c r="S24" s="7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</row>
    <row r="25" spans="1:86" s="24" customFormat="1" ht="18" customHeight="1">
      <c r="B25" s="2"/>
      <c r="C25" s="41">
        <f t="shared" ca="1" si="0"/>
        <v>6</v>
      </c>
      <c r="D25" s="60" t="str">
        <f>IF(F25&lt;&gt;"",LARGE(D18:D24,1)+1,"")</f>
        <v/>
      </c>
      <c r="E25" s="61" t="str">
        <f ca="1">INDEX(Карта!$B$2:$S$22,ROW()-ROW($D$17),INDIRECT(ADDRESS(ROW($D$17),COLUMN()),1)*2-1+Корректор)</f>
        <v>372.37.060</v>
      </c>
      <c r="F25" s="62" t="str">
        <f>IF(M11=Таб_Вес!$AC$25,E25,"")</f>
        <v/>
      </c>
      <c r="G25" s="415" t="str">
        <f t="shared" si="1"/>
        <v/>
      </c>
      <c r="H25" s="415"/>
      <c r="I25" s="415"/>
      <c r="J25" s="53" t="str">
        <f>IF(F25&lt;&gt;"",1,"")</f>
        <v/>
      </c>
      <c r="K25" s="62" t="str">
        <f>IF($F25&lt;&gt;"",Таб_Вес!$AC$35,"")</f>
        <v/>
      </c>
      <c r="L25" s="63" t="str">
        <f t="shared" si="2"/>
        <v/>
      </c>
      <c r="M25" s="410"/>
      <c r="N25" s="64" t="str">
        <f t="shared" si="4"/>
        <v/>
      </c>
      <c r="O25" s="52"/>
      <c r="P25" s="19"/>
      <c r="Q25" s="6"/>
      <c r="R25" s="7"/>
      <c r="S25" s="7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</row>
    <row r="26" spans="1:86" s="24" customFormat="1" ht="18" customHeight="1">
      <c r="B26" s="2"/>
      <c r="C26" s="41">
        <f t="shared" ca="1" si="0"/>
        <v>9</v>
      </c>
      <c r="D26" s="60" t="str">
        <f>IF(F26&lt;&gt;"",LARGE(D18:D25,1)+1,"")</f>
        <v/>
      </c>
      <c r="E26" s="61" t="str">
        <f ca="1">INDEX(Карта!$B$2:$S$22,ROW()-ROW($D$17),INDIRECT(ADDRESS(ROW($D$17),COLUMN()),1)*2-1+Корректор)</f>
        <v>372.37.044</v>
      </c>
      <c r="F26" s="62" t="str">
        <f>IF(M13=Таб_Вес!$AC$25,E26,"")</f>
        <v/>
      </c>
      <c r="G26" s="415" t="str">
        <f t="shared" si="1"/>
        <v/>
      </c>
      <c r="H26" s="415"/>
      <c r="I26" s="415"/>
      <c r="J26" s="53" t="str">
        <f>IF(F26&lt;&gt;"",1,"")</f>
        <v/>
      </c>
      <c r="K26" s="62" t="str">
        <f>IF($F26&lt;&gt;"",Таб_Вес!$AC$35,"")</f>
        <v/>
      </c>
      <c r="L26" s="63" t="str">
        <f t="shared" si="2"/>
        <v/>
      </c>
      <c r="M26" s="410"/>
      <c r="N26" s="64" t="str">
        <f t="shared" si="4"/>
        <v/>
      </c>
      <c r="O26" s="52"/>
      <c r="P26" s="19"/>
      <c r="Q26" s="6"/>
      <c r="R26" s="7"/>
      <c r="S26" s="7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</row>
    <row r="27" spans="1:86" s="24" customFormat="1" ht="18" customHeight="1">
      <c r="A27" s="1"/>
      <c r="B27" s="19"/>
      <c r="C27" s="30" t="s">
        <v>60</v>
      </c>
      <c r="D27" s="65"/>
      <c r="E27" s="65"/>
      <c r="F27" s="66"/>
      <c r="G27" s="67"/>
      <c r="H27" s="67"/>
      <c r="I27" s="67"/>
      <c r="J27" s="68"/>
      <c r="K27" s="66"/>
      <c r="L27" s="69" t="s">
        <v>29</v>
      </c>
      <c r="M27" s="70"/>
      <c r="N27" s="70">
        <f ca="1">SUM(N18:N26)</f>
        <v>0</v>
      </c>
      <c r="O27" s="71"/>
      <c r="P27" s="2"/>
      <c r="Q27" s="6"/>
      <c r="R27" s="7"/>
      <c r="S27" s="7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</row>
    <row r="28" spans="1:86" s="24" customFormat="1" ht="8.1" customHeight="1">
      <c r="A28" s="1"/>
      <c r="B28" s="2"/>
      <c r="C28" s="72"/>
      <c r="D28" s="73"/>
      <c r="E28" s="73"/>
      <c r="F28" s="74"/>
      <c r="G28" s="75"/>
      <c r="H28" s="75"/>
      <c r="I28" s="75"/>
      <c r="J28" s="76"/>
      <c r="K28" s="74"/>
      <c r="L28" s="77"/>
      <c r="M28" s="78"/>
      <c r="N28" s="78"/>
      <c r="O28" s="79"/>
      <c r="P28" s="80"/>
      <c r="Q28" s="6"/>
      <c r="R28" s="7"/>
      <c r="S28" s="7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</row>
    <row r="29" spans="1:86" s="24" customFormat="1" ht="15.95" customHeight="1">
      <c r="A29" s="1"/>
      <c r="B29" s="2"/>
      <c r="C29" s="2"/>
      <c r="D29" s="3"/>
      <c r="E29" s="3"/>
      <c r="F29" s="3"/>
      <c r="G29" s="3"/>
      <c r="H29" s="3"/>
      <c r="I29" s="3"/>
      <c r="J29" s="3"/>
      <c r="K29" s="4"/>
      <c r="L29" s="3"/>
      <c r="M29" s="5"/>
      <c r="N29" s="5"/>
      <c r="O29" s="5"/>
      <c r="P29" s="2"/>
      <c r="Q29" s="6"/>
      <c r="R29" s="7"/>
      <c r="S29" s="7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</row>
    <row r="30" spans="1:86" s="24" customFormat="1" ht="6" customHeight="1">
      <c r="A30" s="1"/>
      <c r="B30" s="2"/>
      <c r="C30" s="10"/>
      <c r="D30" s="10"/>
      <c r="E30" s="10"/>
      <c r="F30" s="10"/>
      <c r="G30" s="11"/>
      <c r="H30" s="11"/>
      <c r="I30" s="11"/>
      <c r="J30" s="12"/>
      <c r="K30" s="13"/>
      <c r="L30" s="12"/>
      <c r="M30" s="14"/>
      <c r="N30" s="14"/>
      <c r="O30" s="14"/>
      <c r="P30" s="2"/>
      <c r="Q30" s="6"/>
      <c r="R30" s="7"/>
      <c r="S30" s="7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</row>
    <row r="31" spans="1:86" s="24" customFormat="1" ht="18" customHeight="1">
      <c r="A31" s="1">
        <v>4</v>
      </c>
      <c r="B31" s="2"/>
      <c r="C31" s="423" t="s">
        <v>80</v>
      </c>
      <c r="D31" s="423"/>
      <c r="E31" s="423"/>
      <c r="F31" s="423"/>
      <c r="G31" s="120" t="s">
        <v>78</v>
      </c>
      <c r="H31" s="10" t="s">
        <v>69</v>
      </c>
      <c r="I31" s="121">
        <v>600</v>
      </c>
      <c r="J31" s="12"/>
      <c r="K31" s="423" t="s">
        <v>71</v>
      </c>
      <c r="L31" s="423"/>
      <c r="M31" s="121">
        <v>19</v>
      </c>
      <c r="N31" s="14"/>
      <c r="O31" s="14"/>
      <c r="P31" s="2"/>
      <c r="Q31" s="6"/>
      <c r="R31" s="7"/>
      <c r="S31" s="7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</row>
    <row r="32" spans="1:86" ht="3" customHeight="1">
      <c r="B32" s="2"/>
      <c r="C32" s="15"/>
      <c r="D32" s="15"/>
      <c r="E32" s="15"/>
      <c r="F32" s="15"/>
      <c r="G32" s="16"/>
      <c r="H32" s="16"/>
      <c r="I32" s="16"/>
      <c r="J32" s="16"/>
      <c r="K32" s="16"/>
      <c r="L32" s="16"/>
      <c r="M32" s="16"/>
      <c r="N32" s="14"/>
      <c r="O32" s="14"/>
    </row>
    <row r="33" spans="1:86" ht="21" customHeight="1">
      <c r="B33" s="2"/>
      <c r="C33" s="424" t="str">
        <f ca="1">$C$5</f>
        <v/>
      </c>
      <c r="D33" s="424"/>
      <c r="E33" s="424"/>
      <c r="F33" s="424"/>
      <c r="G33" s="17"/>
      <c r="H33" s="10" t="s">
        <v>70</v>
      </c>
      <c r="I33" s="121">
        <v>720</v>
      </c>
      <c r="J33" s="12"/>
      <c r="K33" s="423" t="s">
        <v>74</v>
      </c>
      <c r="L33" s="423"/>
      <c r="M33" s="18">
        <f>ВесФасадаРасчет</f>
        <v>6.3380799999999997</v>
      </c>
      <c r="N33" s="14"/>
      <c r="O33" s="14"/>
      <c r="R33" s="1"/>
      <c r="S33" s="115"/>
    </row>
    <row r="34" spans="1:86" s="24" customFormat="1" ht="6" customHeight="1">
      <c r="A34" s="1"/>
      <c r="B34" s="19"/>
      <c r="C34" s="20"/>
      <c r="D34" s="20"/>
      <c r="E34" s="20"/>
      <c r="F34" s="20"/>
      <c r="G34" s="21"/>
      <c r="H34" s="16"/>
      <c r="I34" s="22"/>
      <c r="J34" s="12"/>
      <c r="K34" s="16"/>
      <c r="L34" s="16"/>
      <c r="M34" s="23"/>
      <c r="N34" s="14"/>
      <c r="O34" s="14"/>
      <c r="P34" s="2"/>
      <c r="Q34" s="6"/>
      <c r="R34" s="7"/>
      <c r="S34" s="7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</row>
    <row r="35" spans="1:86" s="24" customFormat="1" ht="18" customHeight="1">
      <c r="A35" s="1"/>
      <c r="B35" s="2"/>
      <c r="C35" s="424" t="str">
        <f ca="1">$C$5</f>
        <v/>
      </c>
      <c r="D35" s="424"/>
      <c r="E35" s="424"/>
      <c r="F35" s="424"/>
      <c r="G35" s="422" t="s">
        <v>239</v>
      </c>
      <c r="H35" s="422"/>
      <c r="I35" s="422"/>
      <c r="J35" s="422"/>
      <c r="K35" s="422"/>
      <c r="L35" s="422"/>
      <c r="M35" s="122" t="s">
        <v>198</v>
      </c>
      <c r="N35" s="14"/>
      <c r="O35" s="14"/>
      <c r="P35" s="2"/>
      <c r="Q35" s="6"/>
      <c r="R35" s="7"/>
      <c r="S35" s="7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</row>
    <row r="36" spans="1:86" s="24" customFormat="1" ht="3" customHeight="1">
      <c r="A36" s="1"/>
      <c r="B36" s="19"/>
      <c r="C36" s="20"/>
      <c r="D36" s="20"/>
      <c r="E36" s="20"/>
      <c r="F36" s="20"/>
      <c r="G36" s="21"/>
      <c r="H36" s="16"/>
      <c r="I36" s="22"/>
      <c r="J36" s="12"/>
      <c r="K36" s="16"/>
      <c r="L36" s="16"/>
      <c r="M36" s="23"/>
      <c r="N36" s="14"/>
      <c r="O36" s="14"/>
      <c r="P36" s="2"/>
      <c r="Q36" s="6"/>
      <c r="R36" s="7"/>
      <c r="S36" s="7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</row>
    <row r="37" spans="1:86" s="24" customFormat="1" ht="18" customHeight="1">
      <c r="A37" s="1"/>
      <c r="B37" s="2"/>
      <c r="C37" s="424" t="str">
        <f ca="1">$C$5</f>
        <v/>
      </c>
      <c r="D37" s="424"/>
      <c r="E37" s="424"/>
      <c r="F37" s="424"/>
      <c r="G37" s="422" t="s">
        <v>196</v>
      </c>
      <c r="H37" s="422"/>
      <c r="I37" s="422"/>
      <c r="J37" s="422"/>
      <c r="K37" s="422"/>
      <c r="L37" s="422"/>
      <c r="M37" s="123" t="s">
        <v>186</v>
      </c>
      <c r="N37" s="14"/>
      <c r="O37" s="14"/>
      <c r="P37" s="2"/>
      <c r="Q37" s="6"/>
      <c r="R37" s="7"/>
      <c r="S37" s="7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</row>
    <row r="38" spans="1:86" s="24" customFormat="1" ht="6" customHeight="1">
      <c r="A38" s="1"/>
      <c r="B38" s="19"/>
      <c r="C38" s="21"/>
      <c r="D38" s="97"/>
      <c r="E38" s="97"/>
      <c r="F38" s="95"/>
      <c r="G38" s="95"/>
      <c r="H38" s="16"/>
      <c r="I38" s="22"/>
      <c r="J38" s="95"/>
      <c r="K38" s="16"/>
      <c r="L38" s="16"/>
      <c r="M38" s="23"/>
      <c r="N38" s="23"/>
      <c r="O38" s="14"/>
      <c r="P38" s="2"/>
      <c r="Q38" s="6"/>
      <c r="R38" s="7"/>
      <c r="S38" s="7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</row>
    <row r="39" spans="1:86" ht="21" customHeight="1">
      <c r="B39" s="2"/>
      <c r="C39" s="30" t="s">
        <v>54</v>
      </c>
      <c r="D39" s="34"/>
      <c r="E39" s="34"/>
      <c r="F39" s="34"/>
      <c r="G39" s="32" t="s">
        <v>30</v>
      </c>
      <c r="H39" s="32"/>
      <c r="I39" s="32"/>
      <c r="J39" s="33"/>
      <c r="K39" s="34"/>
      <c r="L39" s="34"/>
      <c r="M39" s="35"/>
      <c r="N39" s="35"/>
      <c r="O39" s="35"/>
      <c r="R39" s="1"/>
      <c r="S39" s="115"/>
    </row>
    <row r="40" spans="1:86" s="24" customFormat="1" ht="18" customHeight="1" thickBot="1">
      <c r="A40" s="1"/>
      <c r="B40" s="2"/>
      <c r="C40" s="41"/>
      <c r="D40" s="36"/>
      <c r="E40" s="316"/>
      <c r="F40" s="36"/>
      <c r="G40" s="38"/>
      <c r="H40" s="38"/>
      <c r="I40" s="38"/>
      <c r="J40" s="36"/>
      <c r="K40" s="36"/>
      <c r="L40" s="38" t="s">
        <v>47</v>
      </c>
      <c r="M40" s="39"/>
      <c r="N40" s="39"/>
      <c r="O40" s="38"/>
      <c r="P40" s="2"/>
      <c r="Q40" s="6"/>
      <c r="R40" s="7"/>
      <c r="S40" s="7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</row>
    <row r="41" spans="1:86" ht="17.100000000000001" customHeight="1" thickTop="1" thickBot="1">
      <c r="B41" s="2"/>
      <c r="C41" s="41">
        <f>IFERROR(MATCH(SMALL(FSВесKey,1),FSВесKey,0),0)</f>
        <v>32</v>
      </c>
      <c r="D41" s="42" t="s">
        <v>0</v>
      </c>
      <c r="E41" s="43">
        <v>4</v>
      </c>
      <c r="F41" s="44" t="s">
        <v>1</v>
      </c>
      <c r="G41" s="44" t="s">
        <v>2</v>
      </c>
      <c r="H41" s="44"/>
      <c r="I41" s="44"/>
      <c r="J41" s="44" t="s">
        <v>59</v>
      </c>
      <c r="K41" s="44" t="s">
        <v>3</v>
      </c>
      <c r="L41" s="44" t="s">
        <v>34</v>
      </c>
      <c r="M41" s="44"/>
      <c r="N41" s="45" t="s">
        <v>200</v>
      </c>
      <c r="O41" s="46"/>
    </row>
    <row r="42" spans="1:86" ht="17.100000000000001" customHeight="1" thickTop="1">
      <c r="B42" s="2"/>
      <c r="C42" s="41">
        <f t="shared" ref="C42:C48" ca="1" si="5">MATCH(E42,ИндексСправ,0)</f>
        <v>81</v>
      </c>
      <c r="D42" s="47">
        <v>1</v>
      </c>
      <c r="E42" s="48" t="str">
        <f ca="1">INDEX(FS_Арт,FSIndex,1+Корректор)</f>
        <v>372.34.422</v>
      </c>
      <c r="F42" s="48" t="str">
        <f t="shared" ref="F42:F47" ca="1" si="6">E42</f>
        <v>372.34.422</v>
      </c>
      <c r="G42" s="419" t="str">
        <f t="shared" ref="G42:G47" ca="1" si="7">IF(F42&lt;&gt;"",INDEX(СправАссорт,фСправТовар,4),"")</f>
        <v>Подъемный механизм FREE SWING - S6sw; правый</v>
      </c>
      <c r="H42" s="420"/>
      <c r="I42" s="421"/>
      <c r="J42" s="47">
        <f ca="1">IF(F42&lt;&gt;"",1,"")</f>
        <v>1</v>
      </c>
      <c r="K42" s="49" t="str">
        <f ca="1">IF($F42&lt;&gt;"",Таб_Вес!$AC$35,"")</f>
        <v>шт</v>
      </c>
      <c r="L42" s="50">
        <f t="shared" ref="L42:L48" ca="1" si="8">IF(AND(J42&lt;&gt;"",M42=""),INDEX(СправАссорт,C42,7),"")</f>
        <v>0</v>
      </c>
      <c r="M42" s="411"/>
      <c r="N42" s="50">
        <f ca="1">IF(J42&lt;&gt;"",J42*LARGE(L42:M42,1),"")</f>
        <v>0</v>
      </c>
      <c r="O42" s="52"/>
      <c r="R42" s="1"/>
      <c r="S42" s="115"/>
    </row>
    <row r="43" spans="1:86" ht="17.100000000000001" customHeight="1">
      <c r="B43" s="2"/>
      <c r="C43" s="41">
        <f t="shared" ca="1" si="5"/>
        <v>86</v>
      </c>
      <c r="D43" s="53">
        <v>2</v>
      </c>
      <c r="E43" s="48" t="str">
        <f ca="1">INDEX(FS_Арт,FSIndex,2+Корректор)</f>
        <v>372.34.423</v>
      </c>
      <c r="F43" s="49" t="str">
        <f t="shared" ca="1" si="6"/>
        <v>372.34.423</v>
      </c>
      <c r="G43" s="419" t="str">
        <f t="shared" ca="1" si="7"/>
        <v>Подъемный механизм FREE SWING - S6sw; левый</v>
      </c>
      <c r="H43" s="420"/>
      <c r="I43" s="421"/>
      <c r="J43" s="47">
        <f ca="1">IF(F43&lt;&gt;"",1,"")</f>
        <v>1</v>
      </c>
      <c r="K43" s="49" t="str">
        <f ca="1">IF($F43&lt;&gt;"",Таб_Вес!$AC$35,"")</f>
        <v>шт</v>
      </c>
      <c r="L43" s="50">
        <f t="shared" ca="1" si="8"/>
        <v>0</v>
      </c>
      <c r="M43" s="411"/>
      <c r="N43" s="50">
        <f t="shared" ref="N43:N48" ca="1" si="9">IF(J43&lt;&gt;"",J43*LARGE(L43:M43,1),"")</f>
        <v>0</v>
      </c>
      <c r="O43" s="52"/>
    </row>
    <row r="44" spans="1:86" s="24" customFormat="1" ht="17.100000000000001" customHeight="1">
      <c r="B44" s="2"/>
      <c r="C44" s="41">
        <f t="shared" ca="1" si="5"/>
        <v>116</v>
      </c>
      <c r="D44" s="53">
        <v>3</v>
      </c>
      <c r="E44" s="48" t="str">
        <f ca="1">VLOOKUP(FSЦвет,Справ!$E$28:$G$29,2,0+Корректор)</f>
        <v>372.34.670</v>
      </c>
      <c r="F44" s="49" t="str">
        <f t="shared" ca="1" si="6"/>
        <v>372.34.670</v>
      </c>
      <c r="G44" s="419" t="str">
        <f t="shared" ca="1" si="7"/>
        <v>Заглушки FREE SWING серые</v>
      </c>
      <c r="H44" s="420"/>
      <c r="I44" s="421"/>
      <c r="J44" s="47">
        <f ca="1">IF(F44&lt;&gt;"",1,"")</f>
        <v>1</v>
      </c>
      <c r="K44" s="49" t="str">
        <f ca="1">IF($F44&lt;&gt;"",Таб_Вес!$AC$35,"")</f>
        <v>шт</v>
      </c>
      <c r="L44" s="50">
        <f t="shared" ca="1" si="8"/>
        <v>0</v>
      </c>
      <c r="M44" s="411"/>
      <c r="N44" s="50">
        <f t="shared" ca="1" si="9"/>
        <v>0</v>
      </c>
      <c r="O44" s="52"/>
      <c r="P44" s="2"/>
      <c r="Q44" s="6"/>
      <c r="R44" s="7"/>
      <c r="S44" s="7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</row>
    <row r="45" spans="1:86" s="24" customFormat="1" ht="17.100000000000001" customHeight="1">
      <c r="B45" s="2"/>
      <c r="C45" s="41">
        <f t="shared" ca="1" si="5"/>
        <v>12</v>
      </c>
      <c r="D45" s="55">
        <v>4</v>
      </c>
      <c r="E45" s="96" t="str">
        <f ca="1">INDEX(Карта!$B$2:$S$22,ROW()-ROW($D$41),INDIRECT(ADDRESS(ROW($D$41),COLUMN()),1)*2-1+Корректор)</f>
        <v>372.91.141</v>
      </c>
      <c r="F45" s="83" t="str">
        <f t="shared" ca="1" si="6"/>
        <v>372.91.141</v>
      </c>
      <c r="G45" s="416" t="str">
        <f t="shared" ca="1" si="7"/>
        <v>Крепления FREE Flap / Swing / Up</v>
      </c>
      <c r="H45" s="417"/>
      <c r="I45" s="418"/>
      <c r="J45" s="55">
        <f ca="1">IF(F45&lt;&gt;"",2,"")</f>
        <v>2</v>
      </c>
      <c r="K45" s="57" t="str">
        <f ca="1">IF($F45&lt;&gt;"",Таб_Вес!$AC$35,"")</f>
        <v>шт</v>
      </c>
      <c r="L45" s="58">
        <f t="shared" ca="1" si="8"/>
        <v>0</v>
      </c>
      <c r="M45" s="412"/>
      <c r="N45" s="58">
        <f t="shared" ca="1" si="9"/>
        <v>0</v>
      </c>
      <c r="O45" s="52"/>
      <c r="P45" s="2"/>
      <c r="Q45" s="6"/>
      <c r="R45" s="7"/>
      <c r="S45" s="7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</row>
    <row r="46" spans="1:86" s="24" customFormat="1" ht="17.100000000000001" customHeight="1">
      <c r="B46" s="19"/>
      <c r="C46" s="41">
        <f t="shared" ca="1" si="5"/>
        <v>16</v>
      </c>
      <c r="D46" s="55">
        <v>5</v>
      </c>
      <c r="E46" s="98" t="str">
        <f ca="1">INDEX(Карта!$B$2:$S$22,ROW()-ROW($D$41),INDIRECT(ADDRESS(ROW($D$41),COLUMN()),1)*2-1+Корректор)</f>
        <v>372.33.696</v>
      </c>
      <c r="F46" s="57" t="str">
        <f t="shared" ca="1" si="6"/>
        <v>372.33.696</v>
      </c>
      <c r="G46" s="416" t="str">
        <f t="shared" ca="1" si="7"/>
        <v>Синхронизирующая Штанга 1074 мм для шкафа 1200 мм</v>
      </c>
      <c r="H46" s="417"/>
      <c r="I46" s="418"/>
      <c r="J46" s="55">
        <f ca="1">IF(F46&lt;&gt;"",1,"")</f>
        <v>1</v>
      </c>
      <c r="K46" s="57" t="s">
        <v>6</v>
      </c>
      <c r="L46" s="58">
        <f t="shared" ca="1" si="8"/>
        <v>0</v>
      </c>
      <c r="M46" s="412"/>
      <c r="N46" s="58">
        <f t="shared" ca="1" si="9"/>
        <v>0</v>
      </c>
      <c r="O46" s="52"/>
      <c r="P46" s="2"/>
      <c r="Q46" s="6"/>
      <c r="R46" s="7"/>
      <c r="S46" s="7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</row>
    <row r="47" spans="1:86" s="24" customFormat="1" ht="17.100000000000001" customHeight="1">
      <c r="B47" s="19"/>
      <c r="C47" s="41">
        <f t="shared" ca="1" si="5"/>
        <v>17</v>
      </c>
      <c r="D47" s="55">
        <v>6</v>
      </c>
      <c r="E47" s="98" t="str">
        <f ca="1">INDEX(Карта!$B$2:$S$22,ROW()-ROW($D$41),INDIRECT(ADDRESS(ROW($D$41),COLUMN()),1)*2-1+Корректор)</f>
        <v>372.33.699</v>
      </c>
      <c r="F47" s="57" t="str">
        <f t="shared" ca="1" si="6"/>
        <v>372.33.699</v>
      </c>
      <c r="G47" s="99" t="str">
        <f t="shared" ca="1" si="7"/>
        <v>Адаптеры (фиксаторы) для штанги SWING / UP</v>
      </c>
      <c r="H47" s="100"/>
      <c r="I47" s="101"/>
      <c r="J47" s="55">
        <f ca="1">IF(F47&lt;&gt;"",2,"")</f>
        <v>2</v>
      </c>
      <c r="K47" s="57" t="s">
        <v>6</v>
      </c>
      <c r="L47" s="58">
        <f t="shared" ca="1" si="8"/>
        <v>0</v>
      </c>
      <c r="M47" s="412"/>
      <c r="N47" s="58">
        <f t="shared" ca="1" si="9"/>
        <v>0</v>
      </c>
      <c r="O47" s="52"/>
      <c r="P47" s="2"/>
      <c r="Q47" s="6"/>
      <c r="R47" s="7"/>
      <c r="S47" s="7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</row>
    <row r="48" spans="1:86" s="24" customFormat="1" ht="17.100000000000001" customHeight="1">
      <c r="B48" s="19"/>
      <c r="C48" s="41">
        <f t="shared" ca="1" si="5"/>
        <v>14</v>
      </c>
      <c r="D48" s="84" t="str">
        <f>IF(F48&lt;&gt;"",LARGE(D42:D47,1)+1,"")</f>
        <v/>
      </c>
      <c r="E48" s="85" t="str">
        <f ca="1">INDEX(Карта!$B$2:$S$22,ROW()-ROW($D$41),INDIRECT(ADDRESS(ROW($D$41),COLUMN()),1)*2-1+Корректор)</f>
        <v>372.91.599</v>
      </c>
      <c r="F48" s="62" t="str">
        <f>IF(M37=Таб_Вес!$AC$25,E48,"")</f>
        <v/>
      </c>
      <c r="G48" s="415" t="str">
        <f t="shared" ref="G48" si="10">IF(F48&lt;&gt;"",INDEX(СправАссорт,фСправТовар,4),"")</f>
        <v/>
      </c>
      <c r="H48" s="415"/>
      <c r="I48" s="415"/>
      <c r="J48" s="53" t="str">
        <f>IF(F48&lt;&gt;"",1,"")</f>
        <v/>
      </c>
      <c r="K48" s="62" t="str">
        <f>IF($F48&lt;&gt;"",Таб_Вес!$AC$35,"")</f>
        <v/>
      </c>
      <c r="L48" s="63" t="str">
        <f t="shared" si="8"/>
        <v/>
      </c>
      <c r="M48" s="413"/>
      <c r="N48" s="63" t="str">
        <f t="shared" si="9"/>
        <v/>
      </c>
      <c r="O48" s="52"/>
      <c r="P48" s="2"/>
      <c r="Q48" s="6"/>
      <c r="R48" s="7"/>
      <c r="S48" s="7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</row>
    <row r="49" spans="1:86" s="24" customFormat="1" ht="17.100000000000001" customHeight="1">
      <c r="A49" s="1"/>
      <c r="B49" s="19"/>
      <c r="C49" s="30" t="s">
        <v>56</v>
      </c>
      <c r="D49" s="65"/>
      <c r="E49" s="65"/>
      <c r="F49" s="66"/>
      <c r="G49" s="67"/>
      <c r="H49" s="67"/>
      <c r="I49" s="67"/>
      <c r="J49" s="68"/>
      <c r="K49" s="66"/>
      <c r="L49" s="69" t="s">
        <v>29</v>
      </c>
      <c r="M49" s="70"/>
      <c r="N49" s="70">
        <f ca="1">SUM(N42:N48)</f>
        <v>0</v>
      </c>
      <c r="O49" s="71"/>
      <c r="P49" s="2"/>
      <c r="Q49" s="6"/>
      <c r="R49" s="7"/>
      <c r="S49" s="7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</row>
    <row r="50" spans="1:86" s="24" customFormat="1" ht="8.1" customHeight="1">
      <c r="A50" s="1"/>
      <c r="B50" s="2"/>
      <c r="C50" s="72"/>
      <c r="D50" s="73"/>
      <c r="E50" s="73"/>
      <c r="F50" s="74"/>
      <c r="G50" s="75"/>
      <c r="H50" s="75"/>
      <c r="I50" s="75"/>
      <c r="J50" s="76"/>
      <c r="K50" s="74"/>
      <c r="L50" s="77"/>
      <c r="M50" s="78"/>
      <c r="N50" s="78"/>
      <c r="O50" s="79"/>
      <c r="P50" s="80"/>
      <c r="Q50" s="6"/>
      <c r="R50" s="7"/>
      <c r="S50" s="7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</row>
    <row r="51" spans="1:86" s="24" customFormat="1" ht="15.95" customHeight="1">
      <c r="A51" s="1"/>
      <c r="B51" s="2"/>
      <c r="C51" s="2"/>
      <c r="D51" s="3"/>
      <c r="E51" s="3"/>
      <c r="F51" s="3"/>
      <c r="G51" s="3"/>
      <c r="H51" s="3"/>
      <c r="I51" s="3"/>
      <c r="J51" s="3"/>
      <c r="K51" s="4"/>
      <c r="L51" s="3"/>
      <c r="M51" s="5"/>
      <c r="N51" s="5"/>
      <c r="O51" s="5"/>
      <c r="P51" s="2"/>
      <c r="Q51" s="6"/>
      <c r="R51" s="7"/>
      <c r="S51" s="7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</row>
    <row r="52" spans="1:86" s="24" customFormat="1" ht="6" customHeight="1">
      <c r="A52" s="1"/>
      <c r="B52" s="2"/>
      <c r="C52" s="10"/>
      <c r="D52" s="10"/>
      <c r="E52" s="10"/>
      <c r="F52" s="10"/>
      <c r="G52" s="11"/>
      <c r="H52" s="11"/>
      <c r="I52" s="11"/>
      <c r="J52" s="12"/>
      <c r="K52" s="13"/>
      <c r="L52" s="12"/>
      <c r="M52" s="14"/>
      <c r="N52" s="14"/>
      <c r="O52" s="14"/>
      <c r="P52" s="2"/>
      <c r="Q52" s="6"/>
      <c r="R52" s="7"/>
      <c r="S52" s="7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</row>
    <row r="53" spans="1:86" s="24" customFormat="1" ht="18" customHeight="1">
      <c r="A53" s="1">
        <v>5</v>
      </c>
      <c r="B53" s="2"/>
      <c r="C53" s="423" t="s">
        <v>80</v>
      </c>
      <c r="D53" s="423"/>
      <c r="E53" s="423"/>
      <c r="F53" s="423"/>
      <c r="G53" s="120" t="s">
        <v>78</v>
      </c>
      <c r="H53" s="10" t="s">
        <v>69</v>
      </c>
      <c r="I53" s="121">
        <v>900</v>
      </c>
      <c r="J53" s="12"/>
      <c r="K53" s="423" t="s">
        <v>71</v>
      </c>
      <c r="L53" s="423"/>
      <c r="M53" s="121">
        <v>19</v>
      </c>
      <c r="N53" s="14"/>
      <c r="O53" s="14"/>
      <c r="P53" s="2"/>
      <c r="Q53" s="6"/>
      <c r="R53" s="7"/>
      <c r="S53" s="7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</row>
    <row r="54" spans="1:86" ht="3" customHeight="1">
      <c r="B54" s="2"/>
      <c r="C54" s="15"/>
      <c r="D54" s="15"/>
      <c r="E54" s="15"/>
      <c r="F54" s="15"/>
      <c r="G54" s="16"/>
      <c r="H54" s="16"/>
      <c r="I54" s="16"/>
      <c r="J54" s="16"/>
      <c r="K54" s="16"/>
      <c r="L54" s="16"/>
      <c r="M54" s="16"/>
      <c r="N54" s="14"/>
      <c r="O54" s="14"/>
    </row>
    <row r="55" spans="1:86" ht="21" customHeight="1">
      <c r="B55" s="2"/>
      <c r="C55" s="424" t="str">
        <f ca="1">$C$5</f>
        <v/>
      </c>
      <c r="D55" s="424"/>
      <c r="E55" s="424"/>
      <c r="F55" s="424"/>
      <c r="G55" s="17"/>
      <c r="H55" s="10" t="s">
        <v>70</v>
      </c>
      <c r="I55" s="121">
        <v>550</v>
      </c>
      <c r="J55" s="12"/>
      <c r="K55" s="423" t="s">
        <v>74</v>
      </c>
      <c r="L55" s="423"/>
      <c r="M55" s="18">
        <f>ВесФасадаРасчет</f>
        <v>7.2477999999999998</v>
      </c>
      <c r="N55" s="14"/>
      <c r="O55" s="14"/>
      <c r="R55" s="1"/>
      <c r="S55" s="115"/>
    </row>
    <row r="56" spans="1:86" s="24" customFormat="1" ht="6" customHeight="1">
      <c r="A56" s="1"/>
      <c r="B56" s="19"/>
      <c r="C56" s="20"/>
      <c r="D56" s="20"/>
      <c r="E56" s="20"/>
      <c r="F56" s="20"/>
      <c r="G56" s="21"/>
      <c r="H56" s="16"/>
      <c r="I56" s="22"/>
      <c r="J56" s="12"/>
      <c r="K56" s="16"/>
      <c r="L56" s="16"/>
      <c r="M56" s="23"/>
      <c r="N56" s="14"/>
      <c r="O56" s="14"/>
      <c r="P56" s="2"/>
      <c r="Q56" s="6"/>
      <c r="R56" s="7"/>
      <c r="S56" s="7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</row>
    <row r="57" spans="1:86" s="24" customFormat="1" ht="18" customHeight="1">
      <c r="A57" s="1"/>
      <c r="B57" s="2"/>
      <c r="C57" s="424" t="str">
        <f ca="1">$C$5</f>
        <v/>
      </c>
      <c r="D57" s="424"/>
      <c r="E57" s="424"/>
      <c r="F57" s="424"/>
      <c r="G57" s="422" t="s">
        <v>239</v>
      </c>
      <c r="H57" s="422"/>
      <c r="I57" s="422"/>
      <c r="J57" s="422"/>
      <c r="K57" s="422"/>
      <c r="L57" s="422"/>
      <c r="M57" s="122" t="s">
        <v>198</v>
      </c>
      <c r="N57" s="14"/>
      <c r="O57" s="14"/>
      <c r="P57" s="2"/>
      <c r="Q57" s="6"/>
      <c r="R57" s="7"/>
      <c r="S57" s="7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</row>
    <row r="58" spans="1:86" s="24" customFormat="1" ht="3" customHeight="1">
      <c r="A58" s="1"/>
      <c r="B58" s="19"/>
      <c r="C58" s="20"/>
      <c r="D58" s="20"/>
      <c r="E58" s="20"/>
      <c r="F58" s="20"/>
      <c r="G58" s="21"/>
      <c r="H58" s="16"/>
      <c r="I58" s="22"/>
      <c r="J58" s="12"/>
      <c r="K58" s="16"/>
      <c r="L58" s="16"/>
      <c r="M58" s="23"/>
      <c r="N58" s="14"/>
      <c r="O58" s="14"/>
      <c r="P58" s="2"/>
      <c r="Q58" s="6"/>
      <c r="R58" s="7"/>
      <c r="S58" s="7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</row>
    <row r="59" spans="1:86" s="24" customFormat="1" ht="18" customHeight="1">
      <c r="A59" s="1"/>
      <c r="B59" s="2"/>
      <c r="C59" s="424" t="str">
        <f ca="1">$C$5</f>
        <v/>
      </c>
      <c r="D59" s="424"/>
      <c r="E59" s="424"/>
      <c r="F59" s="424"/>
      <c r="G59" s="422" t="s">
        <v>232</v>
      </c>
      <c r="H59" s="422"/>
      <c r="I59" s="422"/>
      <c r="J59" s="422"/>
      <c r="K59" s="422"/>
      <c r="L59" s="422"/>
      <c r="M59" s="124">
        <v>1200</v>
      </c>
      <c r="N59" s="14"/>
      <c r="O59" s="14"/>
      <c r="P59" s="2"/>
      <c r="Q59" s="6"/>
      <c r="R59" s="7"/>
      <c r="S59" s="7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</row>
    <row r="60" spans="1:86" s="24" customFormat="1" ht="3" customHeight="1">
      <c r="A60" s="1"/>
      <c r="B60" s="19"/>
      <c r="C60" s="20"/>
      <c r="D60" s="20"/>
      <c r="E60" s="20"/>
      <c r="F60" s="20"/>
      <c r="G60" s="21"/>
      <c r="H60" s="16"/>
      <c r="I60" s="22"/>
      <c r="J60" s="12"/>
      <c r="K60" s="16"/>
      <c r="L60" s="16"/>
      <c r="M60" s="23"/>
      <c r="N60" s="14"/>
      <c r="O60" s="14"/>
      <c r="P60" s="2"/>
      <c r="Q60" s="6"/>
      <c r="R60" s="7"/>
      <c r="S60" s="7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</row>
    <row r="61" spans="1:86" s="24" customFormat="1" ht="18" customHeight="1">
      <c r="A61" s="1"/>
      <c r="B61" s="2"/>
      <c r="C61" s="424" t="str">
        <f ca="1">$C$5</f>
        <v/>
      </c>
      <c r="D61" s="424"/>
      <c r="E61" s="424"/>
      <c r="F61" s="424"/>
      <c r="G61" s="422" t="s">
        <v>196</v>
      </c>
      <c r="H61" s="422"/>
      <c r="I61" s="422"/>
      <c r="J61" s="422"/>
      <c r="K61" s="422"/>
      <c r="L61" s="422"/>
      <c r="M61" s="123" t="s">
        <v>186</v>
      </c>
      <c r="N61" s="14"/>
      <c r="O61" s="14"/>
      <c r="P61" s="2"/>
      <c r="Q61" s="6"/>
      <c r="R61" s="7"/>
      <c r="S61" s="7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</row>
    <row r="62" spans="1:86" s="24" customFormat="1" ht="6" customHeight="1">
      <c r="A62" s="1"/>
      <c r="B62" s="19"/>
      <c r="C62" s="21"/>
      <c r="D62" s="97"/>
      <c r="E62" s="97"/>
      <c r="F62" s="95"/>
      <c r="G62" s="95"/>
      <c r="H62" s="16"/>
      <c r="I62" s="22"/>
      <c r="J62" s="95"/>
      <c r="K62" s="16"/>
      <c r="L62" s="16"/>
      <c r="M62" s="23"/>
      <c r="N62" s="23"/>
      <c r="O62" s="14"/>
      <c r="P62" s="2"/>
      <c r="Q62" s="6"/>
      <c r="R62" s="7"/>
      <c r="S62" s="7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</row>
    <row r="63" spans="1:86" s="24" customFormat="1" ht="18" customHeight="1">
      <c r="A63" s="1"/>
      <c r="B63" s="2"/>
      <c r="C63" s="30" t="s">
        <v>55</v>
      </c>
      <c r="D63" s="34"/>
      <c r="E63" s="34"/>
      <c r="F63" s="34"/>
      <c r="G63" s="32" t="s">
        <v>36</v>
      </c>
      <c r="H63" s="32"/>
      <c r="I63" s="32"/>
      <c r="J63" s="33"/>
      <c r="K63" s="34"/>
      <c r="L63" s="34"/>
      <c r="M63" s="35"/>
      <c r="N63" s="35"/>
      <c r="O63" s="35"/>
      <c r="P63" s="2"/>
      <c r="Q63" s="6"/>
      <c r="R63" s="7"/>
      <c r="S63" s="7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</row>
    <row r="64" spans="1:86" s="24" customFormat="1" ht="18" customHeight="1" thickBot="1">
      <c r="A64" s="1"/>
      <c r="B64" s="2"/>
      <c r="C64" s="41"/>
      <c r="D64" s="36"/>
      <c r="E64" s="316"/>
      <c r="F64" s="36"/>
      <c r="G64" s="38"/>
      <c r="H64" s="38"/>
      <c r="I64" s="38"/>
      <c r="J64" s="36"/>
      <c r="K64" s="36"/>
      <c r="L64" s="38" t="s">
        <v>47</v>
      </c>
      <c r="M64" s="39"/>
      <c r="N64" s="39"/>
      <c r="O64" s="38"/>
      <c r="P64" s="2"/>
      <c r="Q64" s="6"/>
      <c r="R64" s="7"/>
      <c r="S64" s="7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</row>
    <row r="65" spans="1:86" ht="17.100000000000001" customHeight="1" thickTop="1" thickBot="1">
      <c r="B65" s="2"/>
      <c r="C65" s="41">
        <f>IFERROR(SMALL(FUKey,1),0)</f>
        <v>6</v>
      </c>
      <c r="D65" s="42" t="s">
        <v>0</v>
      </c>
      <c r="E65" s="43">
        <v>5</v>
      </c>
      <c r="F65" s="44" t="s">
        <v>1</v>
      </c>
      <c r="G65" s="44" t="s">
        <v>2</v>
      </c>
      <c r="H65" s="44"/>
      <c r="I65" s="44"/>
      <c r="J65" s="44" t="s">
        <v>59</v>
      </c>
      <c r="K65" s="44" t="s">
        <v>3</v>
      </c>
      <c r="L65" s="44" t="s">
        <v>34</v>
      </c>
      <c r="M65" s="44"/>
      <c r="N65" s="45" t="s">
        <v>200</v>
      </c>
      <c r="O65" s="46"/>
    </row>
    <row r="66" spans="1:86" ht="17.100000000000001" customHeight="1" thickTop="1">
      <c r="B66" s="2"/>
      <c r="C66" s="41">
        <f t="shared" ref="C66:C72" ca="1" si="11">MATCH(E66,ИндексСправ,0)</f>
        <v>92</v>
      </c>
      <c r="D66" s="47">
        <v>1</v>
      </c>
      <c r="E66" s="48" t="str">
        <f ca="1">INDEX(FU_Арт,FUIndex,1+Корректор)</f>
        <v>372.33.434</v>
      </c>
      <c r="F66" s="48" t="str">
        <f ca="1">E66</f>
        <v>372.33.434</v>
      </c>
      <c r="G66" s="419" t="str">
        <f t="shared" ref="G66:G71" ca="1" si="12">IF(F66&lt;&gt;"",INDEX(СправАссорт,фСправТовар,4),"")</f>
        <v>Подъемный механизм FREE UP - R3us; правый</v>
      </c>
      <c r="H66" s="420"/>
      <c r="I66" s="421"/>
      <c r="J66" s="47">
        <f ca="1">IF(F66&lt;&gt;"",1,"")</f>
        <v>1</v>
      </c>
      <c r="K66" s="49" t="str">
        <f ca="1">IF($F66&lt;&gt;"",Таб_Вес!$AC$35,"")</f>
        <v>шт</v>
      </c>
      <c r="L66" s="50">
        <f t="shared" ref="L66:L72" ca="1" si="13">IF(AND(J66&lt;&gt;"",M66=""),INDEX(СправАссорт,C66,7),"")</f>
        <v>0</v>
      </c>
      <c r="M66" s="407"/>
      <c r="N66" s="51">
        <f ca="1">IF(J66&lt;&gt;"",J66*LARGE(L66:M66,1),"")</f>
        <v>0</v>
      </c>
      <c r="O66" s="52"/>
      <c r="R66" s="1"/>
      <c r="S66" s="115"/>
    </row>
    <row r="67" spans="1:86" ht="17.100000000000001" customHeight="1">
      <c r="B67" s="2"/>
      <c r="C67" s="41">
        <f t="shared" ca="1" si="11"/>
        <v>98</v>
      </c>
      <c r="D67" s="53">
        <v>2</v>
      </c>
      <c r="E67" s="48" t="str">
        <f ca="1">INDEX(FU_Арт,FUIndex,2+Корректор)</f>
        <v>372.33.435</v>
      </c>
      <c r="F67" s="49" t="str">
        <f ca="1">E67</f>
        <v>372.33.435</v>
      </c>
      <c r="G67" s="419" t="str">
        <f t="shared" ca="1" si="12"/>
        <v>Подъемный механизм FREE UP - R3us; левый</v>
      </c>
      <c r="H67" s="420"/>
      <c r="I67" s="421"/>
      <c r="J67" s="47">
        <f ca="1">IF(F67&lt;&gt;"",1,"")</f>
        <v>1</v>
      </c>
      <c r="K67" s="49" t="str">
        <f ca="1">IF($F67&lt;&gt;"",Таб_Вес!$AC$35,"")</f>
        <v>шт</v>
      </c>
      <c r="L67" s="50">
        <f t="shared" ca="1" si="13"/>
        <v>0</v>
      </c>
      <c r="M67" s="407"/>
      <c r="N67" s="51">
        <f t="shared" ref="N67:N72" ca="1" si="14">IF(J67&lt;&gt;"",J67*LARGE(L67:M67,1),"")</f>
        <v>0</v>
      </c>
      <c r="O67" s="52"/>
    </row>
    <row r="68" spans="1:86" s="24" customFormat="1" ht="17.100000000000001" customHeight="1">
      <c r="B68" s="2"/>
      <c r="C68" s="41">
        <f t="shared" ca="1" si="11"/>
        <v>19</v>
      </c>
      <c r="D68" s="53">
        <v>3</v>
      </c>
      <c r="E68" s="48" t="str">
        <f ca="1">VLOOKUP(FUЦвет,Справ!$E$4:$G$5,2,0+Корректор)</f>
        <v>372.33.670</v>
      </c>
      <c r="F68" s="49" t="str">
        <f ca="1">E68</f>
        <v>372.33.670</v>
      </c>
      <c r="G68" s="419" t="str">
        <f t="shared" ca="1" si="12"/>
        <v>Заглушки FREE UP - Серые</v>
      </c>
      <c r="H68" s="420"/>
      <c r="I68" s="421"/>
      <c r="J68" s="47">
        <f ca="1">IF(F68&lt;&gt;"",1,"")</f>
        <v>1</v>
      </c>
      <c r="K68" s="49" t="str">
        <f ca="1">IF($F68&lt;&gt;"",Таб_Вес!$AC$35,"")</f>
        <v>шт</v>
      </c>
      <c r="L68" s="50">
        <f t="shared" ca="1" si="13"/>
        <v>0</v>
      </c>
      <c r="M68" s="407"/>
      <c r="N68" s="51">
        <f t="shared" ca="1" si="14"/>
        <v>0</v>
      </c>
      <c r="O68" s="52"/>
      <c r="P68" s="2"/>
      <c r="Q68" s="6"/>
      <c r="R68" s="7"/>
      <c r="S68" s="7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</row>
    <row r="69" spans="1:86" s="24" customFormat="1" ht="17.100000000000001" customHeight="1">
      <c r="B69" s="2"/>
      <c r="C69" s="41">
        <f t="shared" ca="1" si="11"/>
        <v>12</v>
      </c>
      <c r="D69" s="55">
        <v>4</v>
      </c>
      <c r="E69" s="98" t="str">
        <f ca="1">INDEX(Карта!$B$2:$S$22,ROW()-ROW($D$65),INDIRECT(ADDRESS(ROW($D$65),COLUMN()),1)*2-1+Корректор)</f>
        <v>372.91.141</v>
      </c>
      <c r="F69" s="83" t="str">
        <f ca="1">E69</f>
        <v>372.91.141</v>
      </c>
      <c r="G69" s="416" t="str">
        <f t="shared" ca="1" si="12"/>
        <v>Крепления FREE Flap / Swing / Up</v>
      </c>
      <c r="H69" s="417"/>
      <c r="I69" s="418"/>
      <c r="J69" s="55">
        <f ca="1">IF(F69&lt;&gt;"",2,"")</f>
        <v>2</v>
      </c>
      <c r="K69" s="57" t="str">
        <f ca="1">IF($F69&lt;&gt;"",Таб_Вес!$AC$35,"")</f>
        <v>шт</v>
      </c>
      <c r="L69" s="50">
        <f t="shared" ca="1" si="13"/>
        <v>0</v>
      </c>
      <c r="M69" s="407"/>
      <c r="N69" s="51">
        <f t="shared" ca="1" si="14"/>
        <v>0</v>
      </c>
      <c r="O69" s="52"/>
      <c r="P69" s="2"/>
      <c r="Q69" s="6"/>
      <c r="R69" s="7"/>
      <c r="S69" s="7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</row>
    <row r="70" spans="1:86" s="24" customFormat="1" ht="17.100000000000001" customHeight="1">
      <c r="B70" s="19"/>
      <c r="C70" s="41">
        <f t="shared" ca="1" si="11"/>
        <v>17</v>
      </c>
      <c r="D70" s="55">
        <v>5</v>
      </c>
      <c r="E70" s="98" t="str">
        <f ca="1">INDEX(Карта!$B$2:$S$22,ROW()-ROW($D$65),INDIRECT(ADDRESS(ROW($D$65),COLUMN()),1)*2-1+Корректор)</f>
        <v>372.33.699</v>
      </c>
      <c r="F70" s="57" t="str">
        <f ca="1">E70</f>
        <v>372.33.699</v>
      </c>
      <c r="G70" s="416" t="str">
        <f t="shared" ca="1" si="12"/>
        <v>Адаптеры (фиксаторы) для штанги SWING / UP</v>
      </c>
      <c r="H70" s="417"/>
      <c r="I70" s="418"/>
      <c r="J70" s="55">
        <f ca="1">IF(F70&lt;&gt;"",2,"")</f>
        <v>2</v>
      </c>
      <c r="K70" s="57" t="str">
        <f ca="1">IF($F70&lt;&gt;"",Таб_Вес!$AC$35,"")</f>
        <v>шт</v>
      </c>
      <c r="L70" s="50">
        <f t="shared" ca="1" si="13"/>
        <v>0</v>
      </c>
      <c r="M70" s="407"/>
      <c r="N70" s="51">
        <f t="shared" ca="1" si="14"/>
        <v>0</v>
      </c>
      <c r="O70" s="52"/>
      <c r="P70" s="2"/>
      <c r="Q70" s="6"/>
      <c r="R70" s="7"/>
      <c r="S70" s="7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</row>
    <row r="71" spans="1:86" s="24" customFormat="1" ht="17.100000000000001" customHeight="1">
      <c r="B71" s="19"/>
      <c r="C71" s="41">
        <f t="shared" ca="1" si="11"/>
        <v>16</v>
      </c>
      <c r="D71" s="84">
        <f ca="1">IF(F71&lt;&gt;"",LARGE(D66:D70,1)+1,"")</f>
        <v>6</v>
      </c>
      <c r="E71" s="85" t="str">
        <f ca="1">VLOOKUP(M59,Справ!$E$8:$G$9,2,0+Корректор)</f>
        <v>372.33.696</v>
      </c>
      <c r="F71" s="62" t="str">
        <f ca="1">IF(E71&lt;&gt;"",E71,"")</f>
        <v>372.33.696</v>
      </c>
      <c r="G71" s="415" t="str">
        <f t="shared" ca="1" si="12"/>
        <v>Синхронизирующая Штанга 1074 мм для шкафа 1200 мм</v>
      </c>
      <c r="H71" s="415"/>
      <c r="I71" s="415"/>
      <c r="J71" s="53">
        <f ca="1">IF(F71&lt;&gt;"",1,"")</f>
        <v>1</v>
      </c>
      <c r="K71" s="62" t="str">
        <f ca="1">IF($F71&lt;&gt;"",Таб_Вес!$AC$35,"")</f>
        <v>шт</v>
      </c>
      <c r="L71" s="50">
        <f t="shared" ca="1" si="13"/>
        <v>0</v>
      </c>
      <c r="M71" s="407"/>
      <c r="N71" s="51">
        <f t="shared" ca="1" si="14"/>
        <v>0</v>
      </c>
      <c r="O71" s="52"/>
      <c r="P71" s="2"/>
      <c r="Q71" s="6"/>
      <c r="R71" s="7"/>
      <c r="S71" s="7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</row>
    <row r="72" spans="1:86" s="24" customFormat="1" ht="17.100000000000001" customHeight="1">
      <c r="B72" s="19"/>
      <c r="C72" s="41">
        <f t="shared" ca="1" si="11"/>
        <v>14</v>
      </c>
      <c r="D72" s="84" t="str">
        <f>IF(F72&lt;&gt;"",LARGE(D67:D71,1)+1,"")</f>
        <v/>
      </c>
      <c r="E72" s="85" t="str">
        <f ca="1">INDEX(Карта!$B$2:$S$22,ROW()-ROW($D$65),INDIRECT(ADDRESS(ROW($D$65),COLUMN()),1)*2-1+Корректор)</f>
        <v>372.91.599</v>
      </c>
      <c r="F72" s="62" t="str">
        <f>IF(M61=Таб_Вес!$AC$25,E72,"")</f>
        <v/>
      </c>
      <c r="G72" s="415" t="str">
        <f t="shared" ref="G72" si="15">IF(F72&lt;&gt;"",INDEX(СправАссорт,фСправТовар,4),"")</f>
        <v/>
      </c>
      <c r="H72" s="415"/>
      <c r="I72" s="415"/>
      <c r="J72" s="53" t="str">
        <f>IF(F72&lt;&gt;"",1,"")</f>
        <v/>
      </c>
      <c r="K72" s="62" t="str">
        <f>IF($F72&lt;&gt;"",Таб_Вес!$AC$35,"")</f>
        <v/>
      </c>
      <c r="L72" s="50" t="str">
        <f t="shared" si="13"/>
        <v/>
      </c>
      <c r="M72" s="407"/>
      <c r="N72" s="51" t="str">
        <f t="shared" si="14"/>
        <v/>
      </c>
      <c r="O72" s="52"/>
      <c r="P72" s="2"/>
      <c r="Q72" s="6"/>
      <c r="R72" s="7"/>
      <c r="S72" s="7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</row>
    <row r="73" spans="1:86" s="24" customFormat="1" ht="17.100000000000001" customHeight="1">
      <c r="A73" s="1"/>
      <c r="B73" s="19"/>
      <c r="C73" s="30" t="s">
        <v>57</v>
      </c>
      <c r="D73" s="65"/>
      <c r="E73" s="65"/>
      <c r="F73" s="66"/>
      <c r="G73" s="67"/>
      <c r="H73" s="67"/>
      <c r="I73" s="67"/>
      <c r="J73" s="68"/>
      <c r="K73" s="66"/>
      <c r="L73" s="69" t="s">
        <v>29</v>
      </c>
      <c r="M73" s="70"/>
      <c r="N73" s="70">
        <f ca="1">SUM(N66:N72)</f>
        <v>0</v>
      </c>
      <c r="O73" s="71"/>
      <c r="P73" s="2"/>
      <c r="Q73" s="6"/>
      <c r="R73" s="7"/>
      <c r="S73" s="7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</row>
    <row r="74" spans="1:86" s="24" customFormat="1" ht="8.1" customHeight="1">
      <c r="A74" s="1"/>
      <c r="B74" s="2"/>
      <c r="C74" s="72"/>
      <c r="D74" s="73"/>
      <c r="E74" s="73"/>
      <c r="F74" s="74"/>
      <c r="G74" s="75"/>
      <c r="H74" s="75"/>
      <c r="I74" s="75"/>
      <c r="J74" s="76"/>
      <c r="K74" s="74"/>
      <c r="L74" s="77"/>
      <c r="M74" s="78"/>
      <c r="N74" s="78"/>
      <c r="O74" s="79"/>
      <c r="P74" s="80"/>
      <c r="Q74" s="6"/>
      <c r="R74" s="7"/>
      <c r="S74" s="7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</row>
    <row r="75" spans="1:86" s="7" customFormat="1">
      <c r="A75" s="1"/>
      <c r="B75" s="2"/>
      <c r="C75" s="19"/>
      <c r="D75" s="107"/>
      <c r="E75" s="107"/>
      <c r="F75" s="108"/>
      <c r="G75" s="109"/>
      <c r="H75" s="109"/>
      <c r="I75" s="109"/>
      <c r="J75" s="110"/>
      <c r="K75" s="108"/>
      <c r="L75" s="111"/>
      <c r="M75" s="94"/>
      <c r="N75" s="94"/>
      <c r="O75" s="112"/>
      <c r="P75" s="80"/>
      <c r="Q75" s="6"/>
    </row>
    <row r="76" spans="1:86" s="7" customFormat="1">
      <c r="Q76" s="6"/>
    </row>
    <row r="77" spans="1:86" s="7" customFormat="1">
      <c r="Q77" s="6"/>
    </row>
    <row r="78" spans="1:86" s="7" customFormat="1">
      <c r="Q78" s="6"/>
    </row>
    <row r="79" spans="1:86" s="7" customFormat="1">
      <c r="Q79" s="6"/>
    </row>
    <row r="80" spans="1:86" s="7" customFormat="1">
      <c r="Q80" s="6"/>
    </row>
    <row r="81" spans="1:17" s="7" customFormat="1">
      <c r="Q81" s="6"/>
    </row>
    <row r="82" spans="1:17" s="7" customFormat="1">
      <c r="Q82" s="6"/>
    </row>
    <row r="83" spans="1:17" s="7" customFormat="1">
      <c r="Q83" s="6"/>
    </row>
    <row r="84" spans="1:17" s="7" customFormat="1">
      <c r="Q84" s="6"/>
    </row>
    <row r="85" spans="1:17" s="7" customFormat="1">
      <c r="Q85" s="6"/>
    </row>
    <row r="86" spans="1:17" s="7" customFormat="1">
      <c r="Q86" s="6"/>
    </row>
    <row r="87" spans="1:17" s="7" customFormat="1">
      <c r="A87" s="113"/>
      <c r="D87" s="114"/>
      <c r="E87" s="114"/>
      <c r="F87" s="114"/>
      <c r="G87" s="114"/>
      <c r="H87" s="114"/>
      <c r="I87" s="114"/>
      <c r="J87" s="114"/>
      <c r="K87" s="6"/>
      <c r="L87" s="114"/>
      <c r="M87" s="115"/>
      <c r="N87" s="115"/>
      <c r="O87" s="116"/>
      <c r="Q87" s="6"/>
    </row>
    <row r="88" spans="1:17" s="7" customFormat="1">
      <c r="A88" s="113"/>
      <c r="D88" s="114"/>
      <c r="E88" s="114"/>
      <c r="F88" s="114"/>
      <c r="G88" s="114"/>
      <c r="H88" s="114"/>
      <c r="I88" s="114"/>
      <c r="J88" s="114"/>
      <c r="K88" s="6"/>
      <c r="L88" s="114"/>
      <c r="M88" s="115"/>
      <c r="N88" s="115"/>
      <c r="O88" s="116"/>
      <c r="Q88" s="6"/>
    </row>
    <row r="89" spans="1:17" s="7" customFormat="1">
      <c r="A89" s="113"/>
      <c r="D89" s="114"/>
      <c r="E89" s="114"/>
      <c r="F89" s="114"/>
      <c r="G89" s="114"/>
      <c r="H89" s="114"/>
      <c r="I89" s="114"/>
      <c r="J89" s="114"/>
      <c r="K89" s="6"/>
      <c r="L89" s="114"/>
      <c r="M89" s="115"/>
      <c r="N89" s="115"/>
      <c r="O89" s="116"/>
      <c r="Q89" s="6"/>
    </row>
    <row r="90" spans="1:17" s="7" customFormat="1">
      <c r="A90" s="113"/>
      <c r="D90" s="114"/>
      <c r="E90" s="114"/>
      <c r="F90" s="114"/>
      <c r="G90" s="114"/>
      <c r="H90" s="114"/>
      <c r="I90" s="114"/>
      <c r="J90" s="114"/>
      <c r="K90" s="6"/>
      <c r="L90" s="114"/>
      <c r="M90" s="115"/>
      <c r="N90" s="115"/>
      <c r="O90" s="116"/>
      <c r="Q90" s="6"/>
    </row>
    <row r="91" spans="1:17" s="7" customFormat="1">
      <c r="A91" s="113"/>
      <c r="D91" s="114"/>
      <c r="E91" s="114"/>
      <c r="F91" s="114"/>
      <c r="G91" s="114"/>
      <c r="H91" s="114"/>
      <c r="I91" s="114"/>
      <c r="J91" s="114"/>
      <c r="K91" s="6"/>
      <c r="L91" s="114"/>
      <c r="M91" s="115"/>
      <c r="N91" s="115"/>
      <c r="O91" s="116"/>
      <c r="Q91" s="6"/>
    </row>
    <row r="92" spans="1:17" s="7" customFormat="1">
      <c r="A92" s="113"/>
      <c r="D92" s="114"/>
      <c r="E92" s="114"/>
      <c r="F92" s="114"/>
      <c r="G92" s="114"/>
      <c r="H92" s="114"/>
      <c r="I92" s="114"/>
      <c r="J92" s="114"/>
      <c r="K92" s="6"/>
      <c r="L92" s="114"/>
      <c r="M92" s="115"/>
      <c r="N92" s="115"/>
      <c r="O92" s="116"/>
      <c r="Q92" s="6"/>
    </row>
    <row r="93" spans="1:17" s="7" customFormat="1">
      <c r="A93" s="113"/>
      <c r="D93" s="114"/>
      <c r="E93" s="114"/>
      <c r="F93" s="114"/>
      <c r="G93" s="114"/>
      <c r="H93" s="114"/>
      <c r="I93" s="114"/>
      <c r="J93" s="114"/>
      <c r="K93" s="6"/>
      <c r="L93" s="114"/>
      <c r="M93" s="115"/>
      <c r="N93" s="115"/>
      <c r="O93" s="116"/>
      <c r="Q93" s="6"/>
    </row>
    <row r="94" spans="1:17" s="7" customFormat="1">
      <c r="A94" s="113"/>
      <c r="D94" s="114"/>
      <c r="E94" s="114"/>
      <c r="F94" s="114"/>
      <c r="G94" s="114"/>
      <c r="H94" s="114"/>
      <c r="I94" s="114"/>
      <c r="J94" s="114"/>
      <c r="K94" s="6"/>
      <c r="L94" s="114"/>
      <c r="M94" s="115"/>
      <c r="N94" s="115"/>
      <c r="O94" s="116"/>
      <c r="Q94" s="6"/>
    </row>
    <row r="95" spans="1:17" s="7" customFormat="1">
      <c r="A95" s="113"/>
      <c r="D95" s="114"/>
      <c r="E95" s="114"/>
      <c r="F95" s="114"/>
      <c r="G95" s="114"/>
      <c r="H95" s="114"/>
      <c r="I95" s="114"/>
      <c r="J95" s="114"/>
      <c r="K95" s="6"/>
      <c r="L95" s="114"/>
      <c r="M95" s="115"/>
      <c r="N95" s="115"/>
      <c r="O95" s="116"/>
      <c r="Q95" s="6"/>
    </row>
    <row r="96" spans="1:17" s="7" customFormat="1">
      <c r="A96" s="113"/>
      <c r="D96" s="114"/>
      <c r="E96" s="114"/>
      <c r="F96" s="114"/>
      <c r="G96" s="114"/>
      <c r="H96" s="114"/>
      <c r="I96" s="114"/>
      <c r="J96" s="114"/>
      <c r="K96" s="6"/>
      <c r="L96" s="114"/>
      <c r="M96" s="115"/>
      <c r="N96" s="115"/>
      <c r="O96" s="116"/>
      <c r="Q96" s="6"/>
    </row>
    <row r="97" spans="1:17" s="7" customFormat="1">
      <c r="A97" s="113"/>
      <c r="D97" s="114"/>
      <c r="E97" s="114"/>
      <c r="F97" s="114"/>
      <c r="G97" s="114"/>
      <c r="H97" s="114"/>
      <c r="I97" s="114"/>
      <c r="J97" s="114"/>
      <c r="K97" s="6"/>
      <c r="L97" s="114"/>
      <c r="M97" s="115"/>
      <c r="N97" s="115"/>
      <c r="O97" s="116"/>
      <c r="Q97" s="6"/>
    </row>
    <row r="98" spans="1:17" s="7" customFormat="1">
      <c r="A98" s="113"/>
      <c r="D98" s="114"/>
      <c r="E98" s="114"/>
      <c r="F98" s="114"/>
      <c r="G98" s="114"/>
      <c r="H98" s="114"/>
      <c r="I98" s="114"/>
      <c r="J98" s="114"/>
      <c r="K98" s="6"/>
      <c r="L98" s="114"/>
      <c r="M98" s="115"/>
      <c r="N98" s="115"/>
      <c r="O98" s="116"/>
      <c r="Q98" s="6"/>
    </row>
    <row r="99" spans="1:17" s="7" customFormat="1">
      <c r="A99" s="113"/>
      <c r="D99" s="114"/>
      <c r="E99" s="114"/>
      <c r="F99" s="114"/>
      <c r="G99" s="114"/>
      <c r="H99" s="114"/>
      <c r="I99" s="114"/>
      <c r="J99" s="114"/>
      <c r="K99" s="6"/>
      <c r="L99" s="114"/>
      <c r="M99" s="115"/>
      <c r="N99" s="115"/>
      <c r="O99" s="116"/>
      <c r="Q99" s="6"/>
    </row>
    <row r="100" spans="1:17" s="7" customFormat="1">
      <c r="A100" s="113"/>
      <c r="D100" s="114"/>
      <c r="E100" s="114"/>
      <c r="F100" s="114"/>
      <c r="G100" s="114"/>
      <c r="H100" s="114"/>
      <c r="I100" s="114"/>
      <c r="J100" s="114"/>
      <c r="K100" s="6"/>
      <c r="L100" s="114"/>
      <c r="M100" s="115"/>
      <c r="N100" s="115"/>
      <c r="O100" s="116"/>
      <c r="Q100" s="6"/>
    </row>
    <row r="101" spans="1:17" s="7" customFormat="1">
      <c r="A101" s="113"/>
      <c r="D101" s="114"/>
      <c r="E101" s="114"/>
      <c r="F101" s="114"/>
      <c r="G101" s="114"/>
      <c r="H101" s="114"/>
      <c r="I101" s="114"/>
      <c r="J101" s="114"/>
      <c r="K101" s="6"/>
      <c r="L101" s="114"/>
      <c r="M101" s="115"/>
      <c r="N101" s="115"/>
      <c r="O101" s="116"/>
      <c r="Q101" s="6"/>
    </row>
    <row r="102" spans="1:17" s="7" customFormat="1">
      <c r="A102" s="113"/>
      <c r="D102" s="114"/>
      <c r="E102" s="114"/>
      <c r="F102" s="114"/>
      <c r="G102" s="114"/>
      <c r="H102" s="114"/>
      <c r="I102" s="114"/>
      <c r="J102" s="114"/>
      <c r="K102" s="6"/>
      <c r="L102" s="114"/>
      <c r="M102" s="115"/>
      <c r="N102" s="115"/>
      <c r="O102" s="116"/>
      <c r="Q102" s="6"/>
    </row>
    <row r="103" spans="1:17" s="7" customFormat="1">
      <c r="A103" s="113"/>
      <c r="D103" s="114"/>
      <c r="E103" s="114"/>
      <c r="F103" s="114"/>
      <c r="G103" s="114"/>
      <c r="H103" s="114"/>
      <c r="I103" s="114"/>
      <c r="J103" s="114"/>
      <c r="K103" s="6"/>
      <c r="L103" s="114"/>
      <c r="M103" s="115"/>
      <c r="N103" s="115"/>
      <c r="O103" s="116"/>
      <c r="Q103" s="6"/>
    </row>
    <row r="104" spans="1:17" s="7" customFormat="1">
      <c r="A104" s="113"/>
      <c r="D104" s="114"/>
      <c r="E104" s="114"/>
      <c r="F104" s="114"/>
      <c r="G104" s="114"/>
      <c r="H104" s="114"/>
      <c r="I104" s="114"/>
      <c r="J104" s="114"/>
      <c r="K104" s="6"/>
      <c r="L104" s="114"/>
      <c r="M104" s="115"/>
      <c r="N104" s="115"/>
      <c r="O104" s="116"/>
      <c r="Q104" s="6"/>
    </row>
    <row r="105" spans="1:17" s="7" customFormat="1">
      <c r="A105" s="113"/>
      <c r="D105" s="114"/>
      <c r="E105" s="114"/>
      <c r="F105" s="114"/>
      <c r="G105" s="114"/>
      <c r="H105" s="114"/>
      <c r="I105" s="114"/>
      <c r="J105" s="114"/>
      <c r="K105" s="6"/>
      <c r="L105" s="114"/>
      <c r="M105" s="115"/>
      <c r="N105" s="115"/>
      <c r="O105" s="116"/>
      <c r="Q105" s="6"/>
    </row>
    <row r="106" spans="1:17" s="7" customFormat="1">
      <c r="A106" s="113"/>
      <c r="D106" s="114"/>
      <c r="E106" s="114"/>
      <c r="F106" s="114"/>
      <c r="G106" s="114"/>
      <c r="H106" s="114"/>
      <c r="I106" s="114"/>
      <c r="J106" s="114"/>
      <c r="K106" s="6"/>
      <c r="L106" s="114"/>
      <c r="M106" s="115"/>
      <c r="N106" s="115"/>
      <c r="O106" s="116"/>
      <c r="Q106" s="6"/>
    </row>
    <row r="107" spans="1:17" s="7" customFormat="1">
      <c r="A107" s="113"/>
      <c r="D107" s="114"/>
      <c r="E107" s="114"/>
      <c r="F107" s="114"/>
      <c r="G107" s="114"/>
      <c r="H107" s="114"/>
      <c r="I107" s="114"/>
      <c r="J107" s="114"/>
      <c r="K107" s="6"/>
      <c r="L107" s="114"/>
      <c r="M107" s="115"/>
      <c r="N107" s="115"/>
      <c r="O107" s="116"/>
      <c r="Q107" s="6"/>
    </row>
    <row r="108" spans="1:17" s="7" customFormat="1">
      <c r="A108" s="113"/>
      <c r="D108" s="114"/>
      <c r="E108" s="114"/>
      <c r="F108" s="114"/>
      <c r="G108" s="114"/>
      <c r="H108" s="114"/>
      <c r="I108" s="114"/>
      <c r="J108" s="114"/>
      <c r="K108" s="6"/>
      <c r="L108" s="114"/>
      <c r="M108" s="115"/>
      <c r="N108" s="115"/>
      <c r="O108" s="116"/>
      <c r="Q108" s="6"/>
    </row>
    <row r="109" spans="1:17" s="7" customFormat="1">
      <c r="A109" s="113"/>
      <c r="D109" s="114"/>
      <c r="E109" s="114"/>
      <c r="F109" s="114"/>
      <c r="G109" s="114"/>
      <c r="H109" s="114"/>
      <c r="I109" s="114"/>
      <c r="J109" s="114"/>
      <c r="K109" s="6"/>
      <c r="L109" s="114"/>
      <c r="M109" s="115"/>
      <c r="N109" s="115"/>
      <c r="O109" s="116"/>
      <c r="Q109" s="6"/>
    </row>
    <row r="110" spans="1:17" s="7" customFormat="1">
      <c r="A110" s="113"/>
      <c r="D110" s="114"/>
      <c r="E110" s="114"/>
      <c r="F110" s="114"/>
      <c r="G110" s="114"/>
      <c r="H110" s="114"/>
      <c r="I110" s="114"/>
      <c r="J110" s="114"/>
      <c r="K110" s="6"/>
      <c r="L110" s="114"/>
      <c r="M110" s="115"/>
      <c r="N110" s="115"/>
      <c r="O110" s="116"/>
      <c r="Q110" s="6"/>
    </row>
    <row r="111" spans="1:17" s="7" customFormat="1">
      <c r="A111" s="113"/>
      <c r="D111" s="114"/>
      <c r="E111" s="114"/>
      <c r="F111" s="114"/>
      <c r="G111" s="114"/>
      <c r="H111" s="114"/>
      <c r="I111" s="114"/>
      <c r="J111" s="114"/>
      <c r="K111" s="6"/>
      <c r="L111" s="114"/>
      <c r="M111" s="115"/>
      <c r="N111" s="115"/>
      <c r="O111" s="116"/>
      <c r="Q111" s="6"/>
    </row>
    <row r="112" spans="1:17" s="7" customFormat="1">
      <c r="A112" s="113"/>
      <c r="D112" s="114"/>
      <c r="E112" s="114"/>
      <c r="F112" s="114"/>
      <c r="G112" s="114"/>
      <c r="H112" s="114"/>
      <c r="I112" s="114"/>
      <c r="J112" s="114"/>
      <c r="K112" s="6"/>
      <c r="L112" s="114"/>
      <c r="M112" s="115"/>
      <c r="N112" s="115"/>
      <c r="O112" s="116"/>
      <c r="Q112" s="6"/>
    </row>
    <row r="113" spans="1:17" s="7" customFormat="1">
      <c r="A113" s="113"/>
      <c r="D113" s="114"/>
      <c r="E113" s="114"/>
      <c r="F113" s="114"/>
      <c r="G113" s="114"/>
      <c r="H113" s="114"/>
      <c r="I113" s="114"/>
      <c r="J113" s="114"/>
      <c r="K113" s="6"/>
      <c r="L113" s="114"/>
      <c r="M113" s="115"/>
      <c r="N113" s="115"/>
      <c r="O113" s="116"/>
      <c r="Q113" s="6"/>
    </row>
    <row r="114" spans="1:17" s="7" customFormat="1">
      <c r="A114" s="113"/>
      <c r="D114" s="114"/>
      <c r="E114" s="114"/>
      <c r="F114" s="114"/>
      <c r="G114" s="114"/>
      <c r="H114" s="114"/>
      <c r="I114" s="114"/>
      <c r="J114" s="114"/>
      <c r="K114" s="6"/>
      <c r="L114" s="114"/>
      <c r="M114" s="115"/>
      <c r="N114" s="115"/>
      <c r="O114" s="116"/>
      <c r="Q114" s="6"/>
    </row>
    <row r="115" spans="1:17" s="7" customFormat="1">
      <c r="A115" s="113"/>
      <c r="D115" s="114"/>
      <c r="E115" s="114"/>
      <c r="F115" s="114"/>
      <c r="G115" s="114"/>
      <c r="H115" s="114"/>
      <c r="I115" s="114"/>
      <c r="J115" s="114"/>
      <c r="K115" s="6"/>
      <c r="L115" s="114"/>
      <c r="M115" s="115"/>
      <c r="N115" s="115"/>
      <c r="O115" s="116"/>
      <c r="Q115" s="6"/>
    </row>
    <row r="116" spans="1:17" s="7" customFormat="1">
      <c r="A116" s="113"/>
      <c r="D116" s="114"/>
      <c r="E116" s="114"/>
      <c r="F116" s="114"/>
      <c r="G116" s="114"/>
      <c r="H116" s="114"/>
      <c r="I116" s="114"/>
      <c r="J116" s="114"/>
      <c r="K116" s="6"/>
      <c r="L116" s="114"/>
      <c r="M116" s="115"/>
      <c r="N116" s="115"/>
      <c r="O116" s="116"/>
      <c r="Q116" s="6"/>
    </row>
    <row r="117" spans="1:17" s="7" customFormat="1">
      <c r="A117" s="113"/>
      <c r="D117" s="114"/>
      <c r="E117" s="114"/>
      <c r="F117" s="114"/>
      <c r="G117" s="114"/>
      <c r="H117" s="114"/>
      <c r="I117" s="114"/>
      <c r="J117" s="114"/>
      <c r="K117" s="6"/>
      <c r="L117" s="114"/>
      <c r="M117" s="115"/>
      <c r="N117" s="115"/>
      <c r="O117" s="116"/>
      <c r="Q117" s="6"/>
    </row>
    <row r="118" spans="1:17" s="7" customFormat="1">
      <c r="A118" s="113"/>
      <c r="D118" s="114"/>
      <c r="E118" s="114"/>
      <c r="F118" s="114"/>
      <c r="G118" s="114"/>
      <c r="H118" s="114"/>
      <c r="I118" s="114"/>
      <c r="J118" s="114"/>
      <c r="K118" s="6"/>
      <c r="L118" s="114"/>
      <c r="M118" s="115"/>
      <c r="N118" s="115"/>
      <c r="O118" s="116"/>
      <c r="Q118" s="6"/>
    </row>
    <row r="119" spans="1:17" s="7" customFormat="1">
      <c r="A119" s="113"/>
      <c r="D119" s="114"/>
      <c r="E119" s="114"/>
      <c r="F119" s="114"/>
      <c r="G119" s="114"/>
      <c r="H119" s="114"/>
      <c r="I119" s="114"/>
      <c r="J119" s="114"/>
      <c r="K119" s="6"/>
      <c r="L119" s="114"/>
      <c r="M119" s="115"/>
      <c r="N119" s="115"/>
      <c r="O119" s="116"/>
      <c r="Q119" s="6"/>
    </row>
    <row r="120" spans="1:17" s="7" customFormat="1">
      <c r="A120" s="113"/>
      <c r="D120" s="114"/>
      <c r="E120" s="114"/>
      <c r="F120" s="114"/>
      <c r="G120" s="114"/>
      <c r="H120" s="114"/>
      <c r="I120" s="114"/>
      <c r="J120" s="114"/>
      <c r="K120" s="6"/>
      <c r="L120" s="114"/>
      <c r="M120" s="115"/>
      <c r="N120" s="115"/>
      <c r="O120" s="116"/>
      <c r="Q120" s="6"/>
    </row>
    <row r="121" spans="1:17" s="7" customFormat="1">
      <c r="A121" s="113"/>
      <c r="D121" s="114"/>
      <c r="E121" s="114"/>
      <c r="F121" s="114"/>
      <c r="G121" s="114"/>
      <c r="H121" s="114"/>
      <c r="I121" s="114"/>
      <c r="J121" s="114"/>
      <c r="K121" s="6"/>
      <c r="L121" s="114"/>
      <c r="M121" s="115"/>
      <c r="N121" s="115"/>
      <c r="O121" s="116"/>
      <c r="Q121" s="6"/>
    </row>
    <row r="122" spans="1:17" s="7" customFormat="1">
      <c r="A122" s="113"/>
      <c r="D122" s="114"/>
      <c r="E122" s="114"/>
      <c r="F122" s="114"/>
      <c r="G122" s="114"/>
      <c r="H122" s="114"/>
      <c r="I122" s="114"/>
      <c r="J122" s="114"/>
      <c r="K122" s="6"/>
      <c r="L122" s="114"/>
      <c r="M122" s="115"/>
      <c r="N122" s="115"/>
      <c r="O122" s="116"/>
      <c r="Q122" s="6"/>
    </row>
    <row r="123" spans="1:17" s="7" customFormat="1">
      <c r="A123" s="113"/>
      <c r="D123" s="114"/>
      <c r="E123" s="114"/>
      <c r="F123" s="114"/>
      <c r="G123" s="114"/>
      <c r="H123" s="114"/>
      <c r="I123" s="114"/>
      <c r="J123" s="114"/>
      <c r="K123" s="6"/>
      <c r="L123" s="114"/>
      <c r="M123" s="115"/>
      <c r="N123" s="115"/>
      <c r="O123" s="116"/>
      <c r="Q123" s="6"/>
    </row>
    <row r="124" spans="1:17" s="7" customFormat="1">
      <c r="A124" s="113"/>
      <c r="D124" s="114"/>
      <c r="E124" s="114"/>
      <c r="F124" s="114"/>
      <c r="G124" s="114"/>
      <c r="H124" s="114"/>
      <c r="I124" s="114"/>
      <c r="J124" s="114"/>
      <c r="K124" s="6"/>
      <c r="L124" s="114"/>
      <c r="M124" s="115"/>
      <c r="N124" s="115"/>
      <c r="O124" s="116"/>
      <c r="Q124" s="6"/>
    </row>
    <row r="125" spans="1:17" s="7" customFormat="1">
      <c r="A125" s="113"/>
      <c r="D125" s="114"/>
      <c r="E125" s="114"/>
      <c r="F125" s="114"/>
      <c r="G125" s="114"/>
      <c r="H125" s="114"/>
      <c r="I125" s="114"/>
      <c r="J125" s="114"/>
      <c r="K125" s="6"/>
      <c r="L125" s="114"/>
      <c r="M125" s="115"/>
      <c r="N125" s="115"/>
      <c r="O125" s="116"/>
      <c r="Q125" s="6"/>
    </row>
    <row r="126" spans="1:17" s="7" customFormat="1">
      <c r="A126" s="113"/>
      <c r="D126" s="114"/>
      <c r="E126" s="114"/>
      <c r="F126" s="114"/>
      <c r="G126" s="114"/>
      <c r="H126" s="114"/>
      <c r="I126" s="114"/>
      <c r="J126" s="114"/>
      <c r="K126" s="6"/>
      <c r="L126" s="114"/>
      <c r="M126" s="115"/>
      <c r="N126" s="115"/>
      <c r="O126" s="116"/>
      <c r="Q126" s="6"/>
    </row>
    <row r="127" spans="1:17" s="7" customFormat="1">
      <c r="A127" s="113"/>
      <c r="D127" s="114"/>
      <c r="E127" s="114"/>
      <c r="F127" s="114"/>
      <c r="G127" s="114"/>
      <c r="H127" s="114"/>
      <c r="I127" s="114"/>
      <c r="J127" s="114"/>
      <c r="K127" s="6"/>
      <c r="L127" s="114"/>
      <c r="M127" s="115"/>
      <c r="N127" s="115"/>
      <c r="O127" s="116"/>
      <c r="Q127" s="6"/>
    </row>
    <row r="128" spans="1:17" s="7" customFormat="1">
      <c r="A128" s="113"/>
      <c r="D128" s="114"/>
      <c r="E128" s="114"/>
      <c r="F128" s="114"/>
      <c r="G128" s="114"/>
      <c r="H128" s="114"/>
      <c r="I128" s="114"/>
      <c r="J128" s="114"/>
      <c r="K128" s="6"/>
      <c r="L128" s="114"/>
      <c r="M128" s="115"/>
      <c r="N128" s="115"/>
      <c r="O128" s="116"/>
      <c r="Q128" s="6"/>
    </row>
    <row r="129" spans="1:17" s="7" customFormat="1">
      <c r="A129" s="113"/>
      <c r="D129" s="114"/>
      <c r="E129" s="114"/>
      <c r="F129" s="114"/>
      <c r="G129" s="114"/>
      <c r="H129" s="114"/>
      <c r="I129" s="114"/>
      <c r="J129" s="114"/>
      <c r="K129" s="6"/>
      <c r="L129" s="114"/>
      <c r="M129" s="115"/>
      <c r="N129" s="115"/>
      <c r="O129" s="116"/>
      <c r="Q129" s="6"/>
    </row>
    <row r="130" spans="1:17" s="7" customFormat="1">
      <c r="A130" s="113"/>
      <c r="D130" s="114"/>
      <c r="E130" s="114"/>
      <c r="F130" s="114"/>
      <c r="G130" s="114"/>
      <c r="H130" s="114"/>
      <c r="I130" s="114"/>
      <c r="J130" s="114"/>
      <c r="K130" s="6"/>
      <c r="L130" s="114"/>
      <c r="M130" s="115"/>
      <c r="N130" s="115"/>
      <c r="O130" s="116"/>
      <c r="Q130" s="6"/>
    </row>
    <row r="131" spans="1:17" s="7" customFormat="1">
      <c r="A131" s="113"/>
      <c r="D131" s="114"/>
      <c r="E131" s="114"/>
      <c r="F131" s="114"/>
      <c r="G131" s="114"/>
      <c r="H131" s="114"/>
      <c r="I131" s="114"/>
      <c r="J131" s="114"/>
      <c r="K131" s="6"/>
      <c r="L131" s="114"/>
      <c r="M131" s="115"/>
      <c r="N131" s="115"/>
      <c r="O131" s="116"/>
      <c r="Q131" s="6"/>
    </row>
    <row r="132" spans="1:17" s="7" customFormat="1">
      <c r="A132" s="113"/>
      <c r="D132" s="114"/>
      <c r="E132" s="114"/>
      <c r="F132" s="114"/>
      <c r="G132" s="114"/>
      <c r="H132" s="114"/>
      <c r="I132" s="114"/>
      <c r="J132" s="114"/>
      <c r="K132" s="6"/>
      <c r="L132" s="114"/>
      <c r="M132" s="115"/>
      <c r="N132" s="115"/>
      <c r="O132" s="116"/>
      <c r="Q132" s="6"/>
    </row>
    <row r="133" spans="1:17" s="7" customFormat="1">
      <c r="A133" s="113"/>
      <c r="D133" s="114"/>
      <c r="E133" s="114"/>
      <c r="F133" s="114"/>
      <c r="G133" s="114"/>
      <c r="H133" s="114"/>
      <c r="I133" s="114"/>
      <c r="J133" s="114"/>
      <c r="K133" s="6"/>
      <c r="L133" s="114"/>
      <c r="M133" s="115"/>
      <c r="N133" s="115"/>
      <c r="O133" s="116"/>
      <c r="Q133" s="6"/>
    </row>
    <row r="134" spans="1:17" s="7" customFormat="1">
      <c r="A134" s="113"/>
      <c r="D134" s="114"/>
      <c r="E134" s="114"/>
      <c r="F134" s="114"/>
      <c r="G134" s="114"/>
      <c r="H134" s="114"/>
      <c r="I134" s="114"/>
      <c r="J134" s="114"/>
      <c r="K134" s="6"/>
      <c r="L134" s="114"/>
      <c r="M134" s="115"/>
      <c r="N134" s="115"/>
      <c r="O134" s="116"/>
      <c r="Q134" s="6"/>
    </row>
    <row r="135" spans="1:17" s="7" customFormat="1">
      <c r="A135" s="113"/>
      <c r="D135" s="114"/>
      <c r="E135" s="114"/>
      <c r="F135" s="114"/>
      <c r="G135" s="114"/>
      <c r="H135" s="114"/>
      <c r="I135" s="114"/>
      <c r="J135" s="114"/>
      <c r="K135" s="6"/>
      <c r="L135" s="114"/>
      <c r="M135" s="115"/>
      <c r="N135" s="115"/>
      <c r="O135" s="116"/>
      <c r="Q135" s="6"/>
    </row>
  </sheetData>
  <sheetProtection password="CEE3" sheet="1" objects="1" scenarios="1"/>
  <mergeCells count="53">
    <mergeCell ref="C33:F33"/>
    <mergeCell ref="K33:L33"/>
    <mergeCell ref="C57:F57"/>
    <mergeCell ref="C59:F59"/>
    <mergeCell ref="C61:F61"/>
    <mergeCell ref="G44:I44"/>
    <mergeCell ref="G43:I43"/>
    <mergeCell ref="C55:F55"/>
    <mergeCell ref="C53:F53"/>
    <mergeCell ref="G42:I42"/>
    <mergeCell ref="C35:F35"/>
    <mergeCell ref="C37:F37"/>
    <mergeCell ref="G37:L37"/>
    <mergeCell ref="G35:L35"/>
    <mergeCell ref="C3:F3"/>
    <mergeCell ref="K3:L3"/>
    <mergeCell ref="K5:L5"/>
    <mergeCell ref="G7:L7"/>
    <mergeCell ref="C5:F5"/>
    <mergeCell ref="C7:F7"/>
    <mergeCell ref="C9:F9"/>
    <mergeCell ref="C11:F11"/>
    <mergeCell ref="C13:F13"/>
    <mergeCell ref="G9:L9"/>
    <mergeCell ref="G11:L11"/>
    <mergeCell ref="G13:L13"/>
    <mergeCell ref="G18:I18"/>
    <mergeCell ref="G19:I19"/>
    <mergeCell ref="C31:F31"/>
    <mergeCell ref="K31:L31"/>
    <mergeCell ref="G20:I20"/>
    <mergeCell ref="G21:I21"/>
    <mergeCell ref="G22:I22"/>
    <mergeCell ref="G23:I23"/>
    <mergeCell ref="G24:I24"/>
    <mergeCell ref="G26:I26"/>
    <mergeCell ref="G25:I25"/>
    <mergeCell ref="N3:N13"/>
    <mergeCell ref="G72:I72"/>
    <mergeCell ref="G45:I45"/>
    <mergeCell ref="G46:I46"/>
    <mergeCell ref="G48:I48"/>
    <mergeCell ref="G69:I69"/>
    <mergeCell ref="G68:I68"/>
    <mergeCell ref="G61:L61"/>
    <mergeCell ref="K53:L53"/>
    <mergeCell ref="G59:L59"/>
    <mergeCell ref="G57:L57"/>
    <mergeCell ref="G66:I66"/>
    <mergeCell ref="G67:I67"/>
    <mergeCell ref="G70:I70"/>
    <mergeCell ref="G71:I71"/>
    <mergeCell ref="K55:L55"/>
  </mergeCells>
  <conditionalFormatting sqref="G18:I20 G66:I67 G42:I43">
    <cfRule type="expression" dxfId="33" priority="41">
      <formula>$F18="000.000.000"</formula>
    </cfRule>
  </conditionalFormatting>
  <dataValidations count="11">
    <dataValidation type="list" allowBlank="1" showInputMessage="1" showErrorMessage="1" errorTitle="Внимание!" error="Значение должно быть кратно 50" sqref="I31 I53 I3">
      <formula1>ШиринаФ</formula1>
    </dataValidation>
    <dataValidation type="list" allowBlank="1" showInputMessage="1" showErrorMessage="1" errorTitle="Внимание!" error="Значение должно быть кратно 10 мм" sqref="I14 I12 I10 I38 I62 I36 I60 I56 I58 I34 I6">
      <formula1>ВысотаФ</formula1>
    </dataValidation>
    <dataValidation type="list" allowBlank="1" showInputMessage="1" showErrorMessage="1" sqref="M3 M31 M53">
      <formula1>ТолщинаФ</formula1>
    </dataValidation>
    <dataValidation type="list" allowBlank="1" showInputMessage="1" showErrorMessage="1" sqref="G31 G53 G3">
      <formula1>МатериалФ</formula1>
    </dataValidation>
    <dataValidation type="list" allowBlank="1" showInputMessage="1" showErrorMessage="1" errorTitle="Внимание!" error="Значение должно быть кратно 10 мм" sqref="I5">
      <formula1>ВысотаФ_FFold</formula1>
    </dataValidation>
    <dataValidation type="list" allowBlank="1" showInputMessage="1" showErrorMessage="1" errorTitle="Внимание!" error="Значение должно быть кратно 10 мм" sqref="I33">
      <formula1>ВысотаФ_FSwing</formula1>
    </dataValidation>
    <dataValidation type="list" allowBlank="1" showInputMessage="1" showErrorMessage="1" errorTitle="Внимание!" error="Значение должно быть кратно 10 мм" sqref="I55">
      <formula1>ВысотаФ_FUP</formula1>
    </dataValidation>
    <dataValidation type="list" allowBlank="1" showInputMessage="1" showErrorMessage="1" sqref="M9">
      <formula1>FlagYN</formula1>
    </dataValidation>
    <dataValidation allowBlank="1" showInputMessage="1" showErrorMessage="1" errorTitle="Внимание!" error="Значение должно быть кратно 10 мм" sqref="I4 I8 G33 I32 G55 I54 G5"/>
    <dataValidation type="list" allowBlank="1" showInputMessage="1" showErrorMessage="1" errorTitle="Внимание!" error="Значение должно быть кратно 10 мм" sqref="M13 M37 M11 M61">
      <formula1>FlagYN</formula1>
    </dataValidation>
    <dataValidation type="decimal" allowBlank="1" showInputMessage="1" showErrorMessage="1" sqref="N23:N26 M18:M26 M42:M48 M66:M72">
      <formula1>0</formula1>
      <formula2>1000000</formula2>
    </dataValidation>
  </dataValidations>
  <pageMargins left="0.7" right="0.7" top="0.75" bottom="0.75" header="0.3" footer="0.3"/>
  <pageSetup paperSize="9" orientation="portrait" r:id="rId1"/>
  <drawing r:id="rId2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Внимание!" error="Значение должно быть кратно 10 мм" xr:uid="{00000000-0002-0000-0400-00000B000000}">
          <x14:formula1>
            <xm:f>Таб_Вес!$AC$37:$AC$38</xm:f>
          </x14:formula1>
          <xm:sqref>M59</xm:sqref>
        </x14:dataValidation>
        <x14:dataValidation type="list" allowBlank="1" showInputMessage="1" showErrorMessage="1" errorTitle="Внимание!" error="Значение должно быть кратно 10 мм" xr:uid="{00000000-0002-0000-0400-00000C000000}">
          <x14:formula1>
            <xm:f>Таб_Вес!$AC$32:$AC$33</xm:f>
          </x14:formula1>
          <xm:sqref>M35 M7 M57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8"/>
  <dimension ref="A1:CH115"/>
  <sheetViews>
    <sheetView topLeftCell="H1" zoomScale="90" zoomScaleNormal="90" workbookViewId="0">
      <selection activeCell="K15" sqref="K15:M15"/>
    </sheetView>
  </sheetViews>
  <sheetFormatPr defaultColWidth="9.140625" defaultRowHeight="15"/>
  <cols>
    <col min="1" max="1" width="3.42578125" style="1" hidden="1" customWidth="1"/>
    <col min="2" max="2" width="1.7109375" style="8" customWidth="1"/>
    <col min="3" max="3" width="31.85546875" style="9" customWidth="1"/>
    <col min="4" max="4" width="3.42578125" style="117" customWidth="1"/>
    <col min="5" max="5" width="12.28515625" style="117" hidden="1" customWidth="1"/>
    <col min="6" max="6" width="11.5703125" style="117" customWidth="1"/>
    <col min="7" max="7" width="36.7109375" style="117" customWidth="1"/>
    <col min="8" max="8" width="19.28515625" style="117" customWidth="1"/>
    <col min="9" max="9" width="18.85546875" style="117" customWidth="1"/>
    <col min="10" max="10" width="7" style="117" customWidth="1"/>
    <col min="11" max="11" width="6" style="118" customWidth="1"/>
    <col min="12" max="12" width="10.28515625" style="117" customWidth="1"/>
    <col min="13" max="14" width="12" style="119" customWidth="1"/>
    <col min="15" max="15" width="2" style="119" customWidth="1"/>
    <col min="16" max="16" width="1.7109375" style="2" customWidth="1"/>
    <col min="17" max="17" width="2.85546875" style="6" customWidth="1"/>
    <col min="18" max="18" width="48.7109375" style="7" customWidth="1"/>
    <col min="19" max="19" width="9.140625" style="7"/>
    <col min="20" max="86" width="9.140625" style="8"/>
    <col min="87" max="262" width="9.140625" style="9"/>
    <col min="263" max="263" width="4" style="9" customWidth="1"/>
    <col min="264" max="264" width="11.5703125" style="9" customWidth="1"/>
    <col min="265" max="265" width="71" style="9" customWidth="1"/>
    <col min="266" max="266" width="10" style="9" customWidth="1"/>
    <col min="267" max="267" width="7.140625" style="9" customWidth="1"/>
    <col min="268" max="268" width="9.7109375" style="9" customWidth="1"/>
    <col min="269" max="518" width="9.140625" style="9"/>
    <col min="519" max="519" width="4" style="9" customWidth="1"/>
    <col min="520" max="520" width="11.5703125" style="9" customWidth="1"/>
    <col min="521" max="521" width="71" style="9" customWidth="1"/>
    <col min="522" max="522" width="10" style="9" customWidth="1"/>
    <col min="523" max="523" width="7.140625" style="9" customWidth="1"/>
    <col min="524" max="524" width="9.7109375" style="9" customWidth="1"/>
    <col min="525" max="774" width="9.140625" style="9"/>
    <col min="775" max="775" width="4" style="9" customWidth="1"/>
    <col min="776" max="776" width="11.5703125" style="9" customWidth="1"/>
    <col min="777" max="777" width="71" style="9" customWidth="1"/>
    <col min="778" max="778" width="10" style="9" customWidth="1"/>
    <col min="779" max="779" width="7.140625" style="9" customWidth="1"/>
    <col min="780" max="780" width="9.7109375" style="9" customWidth="1"/>
    <col min="781" max="1030" width="9.140625" style="9"/>
    <col min="1031" max="1031" width="4" style="9" customWidth="1"/>
    <col min="1032" max="1032" width="11.5703125" style="9" customWidth="1"/>
    <col min="1033" max="1033" width="71" style="9" customWidth="1"/>
    <col min="1034" max="1034" width="10" style="9" customWidth="1"/>
    <col min="1035" max="1035" width="7.140625" style="9" customWidth="1"/>
    <col min="1036" max="1036" width="9.7109375" style="9" customWidth="1"/>
    <col min="1037" max="1286" width="9.140625" style="9"/>
    <col min="1287" max="1287" width="4" style="9" customWidth="1"/>
    <col min="1288" max="1288" width="11.5703125" style="9" customWidth="1"/>
    <col min="1289" max="1289" width="71" style="9" customWidth="1"/>
    <col min="1290" max="1290" width="10" style="9" customWidth="1"/>
    <col min="1291" max="1291" width="7.140625" style="9" customWidth="1"/>
    <col min="1292" max="1292" width="9.7109375" style="9" customWidth="1"/>
    <col min="1293" max="1542" width="9.140625" style="9"/>
    <col min="1543" max="1543" width="4" style="9" customWidth="1"/>
    <col min="1544" max="1544" width="11.5703125" style="9" customWidth="1"/>
    <col min="1545" max="1545" width="71" style="9" customWidth="1"/>
    <col min="1546" max="1546" width="10" style="9" customWidth="1"/>
    <col min="1547" max="1547" width="7.140625" style="9" customWidth="1"/>
    <col min="1548" max="1548" width="9.7109375" style="9" customWidth="1"/>
    <col min="1549" max="1798" width="9.140625" style="9"/>
    <col min="1799" max="1799" width="4" style="9" customWidth="1"/>
    <col min="1800" max="1800" width="11.5703125" style="9" customWidth="1"/>
    <col min="1801" max="1801" width="71" style="9" customWidth="1"/>
    <col min="1802" max="1802" width="10" style="9" customWidth="1"/>
    <col min="1803" max="1803" width="7.140625" style="9" customWidth="1"/>
    <col min="1804" max="1804" width="9.7109375" style="9" customWidth="1"/>
    <col min="1805" max="2054" width="9.140625" style="9"/>
    <col min="2055" max="2055" width="4" style="9" customWidth="1"/>
    <col min="2056" max="2056" width="11.5703125" style="9" customWidth="1"/>
    <col min="2057" max="2057" width="71" style="9" customWidth="1"/>
    <col min="2058" max="2058" width="10" style="9" customWidth="1"/>
    <col min="2059" max="2059" width="7.140625" style="9" customWidth="1"/>
    <col min="2060" max="2060" width="9.7109375" style="9" customWidth="1"/>
    <col min="2061" max="2310" width="9.140625" style="9"/>
    <col min="2311" max="2311" width="4" style="9" customWidth="1"/>
    <col min="2312" max="2312" width="11.5703125" style="9" customWidth="1"/>
    <col min="2313" max="2313" width="71" style="9" customWidth="1"/>
    <col min="2314" max="2314" width="10" style="9" customWidth="1"/>
    <col min="2315" max="2315" width="7.140625" style="9" customWidth="1"/>
    <col min="2316" max="2316" width="9.7109375" style="9" customWidth="1"/>
    <col min="2317" max="2566" width="9.140625" style="9"/>
    <col min="2567" max="2567" width="4" style="9" customWidth="1"/>
    <col min="2568" max="2568" width="11.5703125" style="9" customWidth="1"/>
    <col min="2569" max="2569" width="71" style="9" customWidth="1"/>
    <col min="2570" max="2570" width="10" style="9" customWidth="1"/>
    <col min="2571" max="2571" width="7.140625" style="9" customWidth="1"/>
    <col min="2572" max="2572" width="9.7109375" style="9" customWidth="1"/>
    <col min="2573" max="2822" width="9.140625" style="9"/>
    <col min="2823" max="2823" width="4" style="9" customWidth="1"/>
    <col min="2824" max="2824" width="11.5703125" style="9" customWidth="1"/>
    <col min="2825" max="2825" width="71" style="9" customWidth="1"/>
    <col min="2826" max="2826" width="10" style="9" customWidth="1"/>
    <col min="2827" max="2827" width="7.140625" style="9" customWidth="1"/>
    <col min="2828" max="2828" width="9.7109375" style="9" customWidth="1"/>
    <col min="2829" max="3078" width="9.140625" style="9"/>
    <col min="3079" max="3079" width="4" style="9" customWidth="1"/>
    <col min="3080" max="3080" width="11.5703125" style="9" customWidth="1"/>
    <col min="3081" max="3081" width="71" style="9" customWidth="1"/>
    <col min="3082" max="3082" width="10" style="9" customWidth="1"/>
    <col min="3083" max="3083" width="7.140625" style="9" customWidth="1"/>
    <col min="3084" max="3084" width="9.7109375" style="9" customWidth="1"/>
    <col min="3085" max="3334" width="9.140625" style="9"/>
    <col min="3335" max="3335" width="4" style="9" customWidth="1"/>
    <col min="3336" max="3336" width="11.5703125" style="9" customWidth="1"/>
    <col min="3337" max="3337" width="71" style="9" customWidth="1"/>
    <col min="3338" max="3338" width="10" style="9" customWidth="1"/>
    <col min="3339" max="3339" width="7.140625" style="9" customWidth="1"/>
    <col min="3340" max="3340" width="9.7109375" style="9" customWidth="1"/>
    <col min="3341" max="3590" width="9.140625" style="9"/>
    <col min="3591" max="3591" width="4" style="9" customWidth="1"/>
    <col min="3592" max="3592" width="11.5703125" style="9" customWidth="1"/>
    <col min="3593" max="3593" width="71" style="9" customWidth="1"/>
    <col min="3594" max="3594" width="10" style="9" customWidth="1"/>
    <col min="3595" max="3595" width="7.140625" style="9" customWidth="1"/>
    <col min="3596" max="3596" width="9.7109375" style="9" customWidth="1"/>
    <col min="3597" max="3846" width="9.140625" style="9"/>
    <col min="3847" max="3847" width="4" style="9" customWidth="1"/>
    <col min="3848" max="3848" width="11.5703125" style="9" customWidth="1"/>
    <col min="3849" max="3849" width="71" style="9" customWidth="1"/>
    <col min="3850" max="3850" width="10" style="9" customWidth="1"/>
    <col min="3851" max="3851" width="7.140625" style="9" customWidth="1"/>
    <col min="3852" max="3852" width="9.7109375" style="9" customWidth="1"/>
    <col min="3853" max="4102" width="9.140625" style="9"/>
    <col min="4103" max="4103" width="4" style="9" customWidth="1"/>
    <col min="4104" max="4104" width="11.5703125" style="9" customWidth="1"/>
    <col min="4105" max="4105" width="71" style="9" customWidth="1"/>
    <col min="4106" max="4106" width="10" style="9" customWidth="1"/>
    <col min="4107" max="4107" width="7.140625" style="9" customWidth="1"/>
    <col min="4108" max="4108" width="9.7109375" style="9" customWidth="1"/>
    <col min="4109" max="4358" width="9.140625" style="9"/>
    <col min="4359" max="4359" width="4" style="9" customWidth="1"/>
    <col min="4360" max="4360" width="11.5703125" style="9" customWidth="1"/>
    <col min="4361" max="4361" width="71" style="9" customWidth="1"/>
    <col min="4362" max="4362" width="10" style="9" customWidth="1"/>
    <col min="4363" max="4363" width="7.140625" style="9" customWidth="1"/>
    <col min="4364" max="4364" width="9.7109375" style="9" customWidth="1"/>
    <col min="4365" max="4614" width="9.140625" style="9"/>
    <col min="4615" max="4615" width="4" style="9" customWidth="1"/>
    <col min="4616" max="4616" width="11.5703125" style="9" customWidth="1"/>
    <col min="4617" max="4617" width="71" style="9" customWidth="1"/>
    <col min="4618" max="4618" width="10" style="9" customWidth="1"/>
    <col min="4619" max="4619" width="7.140625" style="9" customWidth="1"/>
    <col min="4620" max="4620" width="9.7109375" style="9" customWidth="1"/>
    <col min="4621" max="4870" width="9.140625" style="9"/>
    <col min="4871" max="4871" width="4" style="9" customWidth="1"/>
    <col min="4872" max="4872" width="11.5703125" style="9" customWidth="1"/>
    <col min="4873" max="4873" width="71" style="9" customWidth="1"/>
    <col min="4874" max="4874" width="10" style="9" customWidth="1"/>
    <col min="4875" max="4875" width="7.140625" style="9" customWidth="1"/>
    <col min="4876" max="4876" width="9.7109375" style="9" customWidth="1"/>
    <col min="4877" max="5126" width="9.140625" style="9"/>
    <col min="5127" max="5127" width="4" style="9" customWidth="1"/>
    <col min="5128" max="5128" width="11.5703125" style="9" customWidth="1"/>
    <col min="5129" max="5129" width="71" style="9" customWidth="1"/>
    <col min="5130" max="5130" width="10" style="9" customWidth="1"/>
    <col min="5131" max="5131" width="7.140625" style="9" customWidth="1"/>
    <col min="5132" max="5132" width="9.7109375" style="9" customWidth="1"/>
    <col min="5133" max="5382" width="9.140625" style="9"/>
    <col min="5383" max="5383" width="4" style="9" customWidth="1"/>
    <col min="5384" max="5384" width="11.5703125" style="9" customWidth="1"/>
    <col min="5385" max="5385" width="71" style="9" customWidth="1"/>
    <col min="5386" max="5386" width="10" style="9" customWidth="1"/>
    <col min="5387" max="5387" width="7.140625" style="9" customWidth="1"/>
    <col min="5388" max="5388" width="9.7109375" style="9" customWidth="1"/>
    <col min="5389" max="5638" width="9.140625" style="9"/>
    <col min="5639" max="5639" width="4" style="9" customWidth="1"/>
    <col min="5640" max="5640" width="11.5703125" style="9" customWidth="1"/>
    <col min="5641" max="5641" width="71" style="9" customWidth="1"/>
    <col min="5642" max="5642" width="10" style="9" customWidth="1"/>
    <col min="5643" max="5643" width="7.140625" style="9" customWidth="1"/>
    <col min="5644" max="5644" width="9.7109375" style="9" customWidth="1"/>
    <col min="5645" max="5894" width="9.140625" style="9"/>
    <col min="5895" max="5895" width="4" style="9" customWidth="1"/>
    <col min="5896" max="5896" width="11.5703125" style="9" customWidth="1"/>
    <col min="5897" max="5897" width="71" style="9" customWidth="1"/>
    <col min="5898" max="5898" width="10" style="9" customWidth="1"/>
    <col min="5899" max="5899" width="7.140625" style="9" customWidth="1"/>
    <col min="5900" max="5900" width="9.7109375" style="9" customWidth="1"/>
    <col min="5901" max="6150" width="9.140625" style="9"/>
    <col min="6151" max="6151" width="4" style="9" customWidth="1"/>
    <col min="6152" max="6152" width="11.5703125" style="9" customWidth="1"/>
    <col min="6153" max="6153" width="71" style="9" customWidth="1"/>
    <col min="6154" max="6154" width="10" style="9" customWidth="1"/>
    <col min="6155" max="6155" width="7.140625" style="9" customWidth="1"/>
    <col min="6156" max="6156" width="9.7109375" style="9" customWidth="1"/>
    <col min="6157" max="6406" width="9.140625" style="9"/>
    <col min="6407" max="6407" width="4" style="9" customWidth="1"/>
    <col min="6408" max="6408" width="11.5703125" style="9" customWidth="1"/>
    <col min="6409" max="6409" width="71" style="9" customWidth="1"/>
    <col min="6410" max="6410" width="10" style="9" customWidth="1"/>
    <col min="6411" max="6411" width="7.140625" style="9" customWidth="1"/>
    <col min="6412" max="6412" width="9.7109375" style="9" customWidth="1"/>
    <col min="6413" max="6662" width="9.140625" style="9"/>
    <col min="6663" max="6663" width="4" style="9" customWidth="1"/>
    <col min="6664" max="6664" width="11.5703125" style="9" customWidth="1"/>
    <col min="6665" max="6665" width="71" style="9" customWidth="1"/>
    <col min="6666" max="6666" width="10" style="9" customWidth="1"/>
    <col min="6667" max="6667" width="7.140625" style="9" customWidth="1"/>
    <col min="6668" max="6668" width="9.7109375" style="9" customWidth="1"/>
    <col min="6669" max="6918" width="9.140625" style="9"/>
    <col min="6919" max="6919" width="4" style="9" customWidth="1"/>
    <col min="6920" max="6920" width="11.5703125" style="9" customWidth="1"/>
    <col min="6921" max="6921" width="71" style="9" customWidth="1"/>
    <col min="6922" max="6922" width="10" style="9" customWidth="1"/>
    <col min="6923" max="6923" width="7.140625" style="9" customWidth="1"/>
    <col min="6924" max="6924" width="9.7109375" style="9" customWidth="1"/>
    <col min="6925" max="7174" width="9.140625" style="9"/>
    <col min="7175" max="7175" width="4" style="9" customWidth="1"/>
    <col min="7176" max="7176" width="11.5703125" style="9" customWidth="1"/>
    <col min="7177" max="7177" width="71" style="9" customWidth="1"/>
    <col min="7178" max="7178" width="10" style="9" customWidth="1"/>
    <col min="7179" max="7179" width="7.140625" style="9" customWidth="1"/>
    <col min="7180" max="7180" width="9.7109375" style="9" customWidth="1"/>
    <col min="7181" max="7430" width="9.140625" style="9"/>
    <col min="7431" max="7431" width="4" style="9" customWidth="1"/>
    <col min="7432" max="7432" width="11.5703125" style="9" customWidth="1"/>
    <col min="7433" max="7433" width="71" style="9" customWidth="1"/>
    <col min="7434" max="7434" width="10" style="9" customWidth="1"/>
    <col min="7435" max="7435" width="7.140625" style="9" customWidth="1"/>
    <col min="7436" max="7436" width="9.7109375" style="9" customWidth="1"/>
    <col min="7437" max="7686" width="9.140625" style="9"/>
    <col min="7687" max="7687" width="4" style="9" customWidth="1"/>
    <col min="7688" max="7688" width="11.5703125" style="9" customWidth="1"/>
    <col min="7689" max="7689" width="71" style="9" customWidth="1"/>
    <col min="7690" max="7690" width="10" style="9" customWidth="1"/>
    <col min="7691" max="7691" width="7.140625" style="9" customWidth="1"/>
    <col min="7692" max="7692" width="9.7109375" style="9" customWidth="1"/>
    <col min="7693" max="7942" width="9.140625" style="9"/>
    <col min="7943" max="7943" width="4" style="9" customWidth="1"/>
    <col min="7944" max="7944" width="11.5703125" style="9" customWidth="1"/>
    <col min="7945" max="7945" width="71" style="9" customWidth="1"/>
    <col min="7946" max="7946" width="10" style="9" customWidth="1"/>
    <col min="7947" max="7947" width="7.140625" style="9" customWidth="1"/>
    <col min="7948" max="7948" width="9.7109375" style="9" customWidth="1"/>
    <col min="7949" max="8198" width="9.140625" style="9"/>
    <col min="8199" max="8199" width="4" style="9" customWidth="1"/>
    <col min="8200" max="8200" width="11.5703125" style="9" customWidth="1"/>
    <col min="8201" max="8201" width="71" style="9" customWidth="1"/>
    <col min="8202" max="8202" width="10" style="9" customWidth="1"/>
    <col min="8203" max="8203" width="7.140625" style="9" customWidth="1"/>
    <col min="8204" max="8204" width="9.7109375" style="9" customWidth="1"/>
    <col min="8205" max="8454" width="9.140625" style="9"/>
    <col min="8455" max="8455" width="4" style="9" customWidth="1"/>
    <col min="8456" max="8456" width="11.5703125" style="9" customWidth="1"/>
    <col min="8457" max="8457" width="71" style="9" customWidth="1"/>
    <col min="8458" max="8458" width="10" style="9" customWidth="1"/>
    <col min="8459" max="8459" width="7.140625" style="9" customWidth="1"/>
    <col min="8460" max="8460" width="9.7109375" style="9" customWidth="1"/>
    <col min="8461" max="8710" width="9.140625" style="9"/>
    <col min="8711" max="8711" width="4" style="9" customWidth="1"/>
    <col min="8712" max="8712" width="11.5703125" style="9" customWidth="1"/>
    <col min="8713" max="8713" width="71" style="9" customWidth="1"/>
    <col min="8714" max="8714" width="10" style="9" customWidth="1"/>
    <col min="8715" max="8715" width="7.140625" style="9" customWidth="1"/>
    <col min="8716" max="8716" width="9.7109375" style="9" customWidth="1"/>
    <col min="8717" max="8966" width="9.140625" style="9"/>
    <col min="8967" max="8967" width="4" style="9" customWidth="1"/>
    <col min="8968" max="8968" width="11.5703125" style="9" customWidth="1"/>
    <col min="8969" max="8969" width="71" style="9" customWidth="1"/>
    <col min="8970" max="8970" width="10" style="9" customWidth="1"/>
    <col min="8971" max="8971" width="7.140625" style="9" customWidth="1"/>
    <col min="8972" max="8972" width="9.7109375" style="9" customWidth="1"/>
    <col min="8973" max="9222" width="9.140625" style="9"/>
    <col min="9223" max="9223" width="4" style="9" customWidth="1"/>
    <col min="9224" max="9224" width="11.5703125" style="9" customWidth="1"/>
    <col min="9225" max="9225" width="71" style="9" customWidth="1"/>
    <col min="9226" max="9226" width="10" style="9" customWidth="1"/>
    <col min="9227" max="9227" width="7.140625" style="9" customWidth="1"/>
    <col min="9228" max="9228" width="9.7109375" style="9" customWidth="1"/>
    <col min="9229" max="9478" width="9.140625" style="9"/>
    <col min="9479" max="9479" width="4" style="9" customWidth="1"/>
    <col min="9480" max="9480" width="11.5703125" style="9" customWidth="1"/>
    <col min="9481" max="9481" width="71" style="9" customWidth="1"/>
    <col min="9482" max="9482" width="10" style="9" customWidth="1"/>
    <col min="9483" max="9483" width="7.140625" style="9" customWidth="1"/>
    <col min="9484" max="9484" width="9.7109375" style="9" customWidth="1"/>
    <col min="9485" max="9734" width="9.140625" style="9"/>
    <col min="9735" max="9735" width="4" style="9" customWidth="1"/>
    <col min="9736" max="9736" width="11.5703125" style="9" customWidth="1"/>
    <col min="9737" max="9737" width="71" style="9" customWidth="1"/>
    <col min="9738" max="9738" width="10" style="9" customWidth="1"/>
    <col min="9739" max="9739" width="7.140625" style="9" customWidth="1"/>
    <col min="9740" max="9740" width="9.7109375" style="9" customWidth="1"/>
    <col min="9741" max="9990" width="9.140625" style="9"/>
    <col min="9991" max="9991" width="4" style="9" customWidth="1"/>
    <col min="9992" max="9992" width="11.5703125" style="9" customWidth="1"/>
    <col min="9993" max="9993" width="71" style="9" customWidth="1"/>
    <col min="9994" max="9994" width="10" style="9" customWidth="1"/>
    <col min="9995" max="9995" width="7.140625" style="9" customWidth="1"/>
    <col min="9996" max="9996" width="9.7109375" style="9" customWidth="1"/>
    <col min="9997" max="10246" width="9.140625" style="9"/>
    <col min="10247" max="10247" width="4" style="9" customWidth="1"/>
    <col min="10248" max="10248" width="11.5703125" style="9" customWidth="1"/>
    <col min="10249" max="10249" width="71" style="9" customWidth="1"/>
    <col min="10250" max="10250" width="10" style="9" customWidth="1"/>
    <col min="10251" max="10251" width="7.140625" style="9" customWidth="1"/>
    <col min="10252" max="10252" width="9.7109375" style="9" customWidth="1"/>
    <col min="10253" max="10502" width="9.140625" style="9"/>
    <col min="10503" max="10503" width="4" style="9" customWidth="1"/>
    <col min="10504" max="10504" width="11.5703125" style="9" customWidth="1"/>
    <col min="10505" max="10505" width="71" style="9" customWidth="1"/>
    <col min="10506" max="10506" width="10" style="9" customWidth="1"/>
    <col min="10507" max="10507" width="7.140625" style="9" customWidth="1"/>
    <col min="10508" max="10508" width="9.7109375" style="9" customWidth="1"/>
    <col min="10509" max="10758" width="9.140625" style="9"/>
    <col min="10759" max="10759" width="4" style="9" customWidth="1"/>
    <col min="10760" max="10760" width="11.5703125" style="9" customWidth="1"/>
    <col min="10761" max="10761" width="71" style="9" customWidth="1"/>
    <col min="10762" max="10762" width="10" style="9" customWidth="1"/>
    <col min="10763" max="10763" width="7.140625" style="9" customWidth="1"/>
    <col min="10764" max="10764" width="9.7109375" style="9" customWidth="1"/>
    <col min="10765" max="11014" width="9.140625" style="9"/>
    <col min="11015" max="11015" width="4" style="9" customWidth="1"/>
    <col min="11016" max="11016" width="11.5703125" style="9" customWidth="1"/>
    <col min="11017" max="11017" width="71" style="9" customWidth="1"/>
    <col min="11018" max="11018" width="10" style="9" customWidth="1"/>
    <col min="11019" max="11019" width="7.140625" style="9" customWidth="1"/>
    <col min="11020" max="11020" width="9.7109375" style="9" customWidth="1"/>
    <col min="11021" max="11270" width="9.140625" style="9"/>
    <col min="11271" max="11271" width="4" style="9" customWidth="1"/>
    <col min="11272" max="11272" width="11.5703125" style="9" customWidth="1"/>
    <col min="11273" max="11273" width="71" style="9" customWidth="1"/>
    <col min="11274" max="11274" width="10" style="9" customWidth="1"/>
    <col min="11275" max="11275" width="7.140625" style="9" customWidth="1"/>
    <col min="11276" max="11276" width="9.7109375" style="9" customWidth="1"/>
    <col min="11277" max="11526" width="9.140625" style="9"/>
    <col min="11527" max="11527" width="4" style="9" customWidth="1"/>
    <col min="11528" max="11528" width="11.5703125" style="9" customWidth="1"/>
    <col min="11529" max="11529" width="71" style="9" customWidth="1"/>
    <col min="11530" max="11530" width="10" style="9" customWidth="1"/>
    <col min="11531" max="11531" width="7.140625" style="9" customWidth="1"/>
    <col min="11532" max="11532" width="9.7109375" style="9" customWidth="1"/>
    <col min="11533" max="11782" width="9.140625" style="9"/>
    <col min="11783" max="11783" width="4" style="9" customWidth="1"/>
    <col min="11784" max="11784" width="11.5703125" style="9" customWidth="1"/>
    <col min="11785" max="11785" width="71" style="9" customWidth="1"/>
    <col min="11786" max="11786" width="10" style="9" customWidth="1"/>
    <col min="11787" max="11787" width="7.140625" style="9" customWidth="1"/>
    <col min="11788" max="11788" width="9.7109375" style="9" customWidth="1"/>
    <col min="11789" max="12038" width="9.140625" style="9"/>
    <col min="12039" max="12039" width="4" style="9" customWidth="1"/>
    <col min="12040" max="12040" width="11.5703125" style="9" customWidth="1"/>
    <col min="12041" max="12041" width="71" style="9" customWidth="1"/>
    <col min="12042" max="12042" width="10" style="9" customWidth="1"/>
    <col min="12043" max="12043" width="7.140625" style="9" customWidth="1"/>
    <col min="12044" max="12044" width="9.7109375" style="9" customWidth="1"/>
    <col min="12045" max="12294" width="9.140625" style="9"/>
    <col min="12295" max="12295" width="4" style="9" customWidth="1"/>
    <col min="12296" max="12296" width="11.5703125" style="9" customWidth="1"/>
    <col min="12297" max="12297" width="71" style="9" customWidth="1"/>
    <col min="12298" max="12298" width="10" style="9" customWidth="1"/>
    <col min="12299" max="12299" width="7.140625" style="9" customWidth="1"/>
    <col min="12300" max="12300" width="9.7109375" style="9" customWidth="1"/>
    <col min="12301" max="12550" width="9.140625" style="9"/>
    <col min="12551" max="12551" width="4" style="9" customWidth="1"/>
    <col min="12552" max="12552" width="11.5703125" style="9" customWidth="1"/>
    <col min="12553" max="12553" width="71" style="9" customWidth="1"/>
    <col min="12554" max="12554" width="10" style="9" customWidth="1"/>
    <col min="12555" max="12555" width="7.140625" style="9" customWidth="1"/>
    <col min="12556" max="12556" width="9.7109375" style="9" customWidth="1"/>
    <col min="12557" max="12806" width="9.140625" style="9"/>
    <col min="12807" max="12807" width="4" style="9" customWidth="1"/>
    <col min="12808" max="12808" width="11.5703125" style="9" customWidth="1"/>
    <col min="12809" max="12809" width="71" style="9" customWidth="1"/>
    <col min="12810" max="12810" width="10" style="9" customWidth="1"/>
    <col min="12811" max="12811" width="7.140625" style="9" customWidth="1"/>
    <col min="12812" max="12812" width="9.7109375" style="9" customWidth="1"/>
    <col min="12813" max="13062" width="9.140625" style="9"/>
    <col min="13063" max="13063" width="4" style="9" customWidth="1"/>
    <col min="13064" max="13064" width="11.5703125" style="9" customWidth="1"/>
    <col min="13065" max="13065" width="71" style="9" customWidth="1"/>
    <col min="13066" max="13066" width="10" style="9" customWidth="1"/>
    <col min="13067" max="13067" width="7.140625" style="9" customWidth="1"/>
    <col min="13068" max="13068" width="9.7109375" style="9" customWidth="1"/>
    <col min="13069" max="13318" width="9.140625" style="9"/>
    <col min="13319" max="13319" width="4" style="9" customWidth="1"/>
    <col min="13320" max="13320" width="11.5703125" style="9" customWidth="1"/>
    <col min="13321" max="13321" width="71" style="9" customWidth="1"/>
    <col min="13322" max="13322" width="10" style="9" customWidth="1"/>
    <col min="13323" max="13323" width="7.140625" style="9" customWidth="1"/>
    <col min="13324" max="13324" width="9.7109375" style="9" customWidth="1"/>
    <col min="13325" max="13574" width="9.140625" style="9"/>
    <col min="13575" max="13575" width="4" style="9" customWidth="1"/>
    <col min="13576" max="13576" width="11.5703125" style="9" customWidth="1"/>
    <col min="13577" max="13577" width="71" style="9" customWidth="1"/>
    <col min="13578" max="13578" width="10" style="9" customWidth="1"/>
    <col min="13579" max="13579" width="7.140625" style="9" customWidth="1"/>
    <col min="13580" max="13580" width="9.7109375" style="9" customWidth="1"/>
    <col min="13581" max="13830" width="9.140625" style="9"/>
    <col min="13831" max="13831" width="4" style="9" customWidth="1"/>
    <col min="13832" max="13832" width="11.5703125" style="9" customWidth="1"/>
    <col min="13833" max="13833" width="71" style="9" customWidth="1"/>
    <col min="13834" max="13834" width="10" style="9" customWidth="1"/>
    <col min="13835" max="13835" width="7.140625" style="9" customWidth="1"/>
    <col min="13836" max="13836" width="9.7109375" style="9" customWidth="1"/>
    <col min="13837" max="14086" width="9.140625" style="9"/>
    <col min="14087" max="14087" width="4" style="9" customWidth="1"/>
    <col min="14088" max="14088" width="11.5703125" style="9" customWidth="1"/>
    <col min="14089" max="14089" width="71" style="9" customWidth="1"/>
    <col min="14090" max="14090" width="10" style="9" customWidth="1"/>
    <col min="14091" max="14091" width="7.140625" style="9" customWidth="1"/>
    <col min="14092" max="14092" width="9.7109375" style="9" customWidth="1"/>
    <col min="14093" max="14342" width="9.140625" style="9"/>
    <col min="14343" max="14343" width="4" style="9" customWidth="1"/>
    <col min="14344" max="14344" width="11.5703125" style="9" customWidth="1"/>
    <col min="14345" max="14345" width="71" style="9" customWidth="1"/>
    <col min="14346" max="14346" width="10" style="9" customWidth="1"/>
    <col min="14347" max="14347" width="7.140625" style="9" customWidth="1"/>
    <col min="14348" max="14348" width="9.7109375" style="9" customWidth="1"/>
    <col min="14349" max="14598" width="9.140625" style="9"/>
    <col min="14599" max="14599" width="4" style="9" customWidth="1"/>
    <col min="14600" max="14600" width="11.5703125" style="9" customWidth="1"/>
    <col min="14601" max="14601" width="71" style="9" customWidth="1"/>
    <col min="14602" max="14602" width="10" style="9" customWidth="1"/>
    <col min="14603" max="14603" width="7.140625" style="9" customWidth="1"/>
    <col min="14604" max="14604" width="9.7109375" style="9" customWidth="1"/>
    <col min="14605" max="14854" width="9.140625" style="9"/>
    <col min="14855" max="14855" width="4" style="9" customWidth="1"/>
    <col min="14856" max="14856" width="11.5703125" style="9" customWidth="1"/>
    <col min="14857" max="14857" width="71" style="9" customWidth="1"/>
    <col min="14858" max="14858" width="10" style="9" customWidth="1"/>
    <col min="14859" max="14859" width="7.140625" style="9" customWidth="1"/>
    <col min="14860" max="14860" width="9.7109375" style="9" customWidth="1"/>
    <col min="14861" max="15110" width="9.140625" style="9"/>
    <col min="15111" max="15111" width="4" style="9" customWidth="1"/>
    <col min="15112" max="15112" width="11.5703125" style="9" customWidth="1"/>
    <col min="15113" max="15113" width="71" style="9" customWidth="1"/>
    <col min="15114" max="15114" width="10" style="9" customWidth="1"/>
    <col min="15115" max="15115" width="7.140625" style="9" customWidth="1"/>
    <col min="15116" max="15116" width="9.7109375" style="9" customWidth="1"/>
    <col min="15117" max="15366" width="9.140625" style="9"/>
    <col min="15367" max="15367" width="4" style="9" customWidth="1"/>
    <col min="15368" max="15368" width="11.5703125" style="9" customWidth="1"/>
    <col min="15369" max="15369" width="71" style="9" customWidth="1"/>
    <col min="15370" max="15370" width="10" style="9" customWidth="1"/>
    <col min="15371" max="15371" width="7.140625" style="9" customWidth="1"/>
    <col min="15372" max="15372" width="9.7109375" style="9" customWidth="1"/>
    <col min="15373" max="15622" width="9.140625" style="9"/>
    <col min="15623" max="15623" width="4" style="9" customWidth="1"/>
    <col min="15624" max="15624" width="11.5703125" style="9" customWidth="1"/>
    <col min="15625" max="15625" width="71" style="9" customWidth="1"/>
    <col min="15626" max="15626" width="10" style="9" customWidth="1"/>
    <col min="15627" max="15627" width="7.140625" style="9" customWidth="1"/>
    <col min="15628" max="15628" width="9.7109375" style="9" customWidth="1"/>
    <col min="15629" max="15878" width="9.140625" style="9"/>
    <col min="15879" max="15879" width="4" style="9" customWidth="1"/>
    <col min="15880" max="15880" width="11.5703125" style="9" customWidth="1"/>
    <col min="15881" max="15881" width="71" style="9" customWidth="1"/>
    <col min="15882" max="15882" width="10" style="9" customWidth="1"/>
    <col min="15883" max="15883" width="7.140625" style="9" customWidth="1"/>
    <col min="15884" max="15884" width="9.7109375" style="9" customWidth="1"/>
    <col min="15885" max="16134" width="9.140625" style="9"/>
    <col min="16135" max="16135" width="4" style="9" customWidth="1"/>
    <col min="16136" max="16136" width="11.5703125" style="9" customWidth="1"/>
    <col min="16137" max="16137" width="71" style="9" customWidth="1"/>
    <col min="16138" max="16138" width="10" style="9" customWidth="1"/>
    <col min="16139" max="16139" width="7.140625" style="9" customWidth="1"/>
    <col min="16140" max="16140" width="9.7109375" style="9" customWidth="1"/>
    <col min="16141" max="16384" width="9.140625" style="9"/>
  </cols>
  <sheetData>
    <row r="1" spans="1:86" ht="8.1" customHeight="1">
      <c r="B1" s="2"/>
      <c r="C1" s="2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O1" s="5"/>
    </row>
    <row r="2" spans="1:86" s="24" customFormat="1" ht="6" customHeight="1">
      <c r="A2" s="1"/>
      <c r="B2" s="2"/>
      <c r="C2" s="10"/>
      <c r="D2" s="10"/>
      <c r="E2" s="10"/>
      <c r="F2" s="10"/>
      <c r="G2" s="11"/>
      <c r="H2" s="11"/>
      <c r="I2" s="11"/>
      <c r="J2" s="12"/>
      <c r="K2" s="13"/>
      <c r="L2" s="12"/>
      <c r="M2" s="14"/>
      <c r="N2" s="14"/>
      <c r="O2" s="14"/>
      <c r="P2" s="2"/>
      <c r="Q2" s="6"/>
      <c r="R2" s="7"/>
      <c r="S2" s="7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</row>
    <row r="3" spans="1:86" s="24" customFormat="1" ht="18" customHeight="1">
      <c r="A3" s="1">
        <v>2</v>
      </c>
      <c r="B3" s="2"/>
      <c r="C3" s="423" t="s">
        <v>80</v>
      </c>
      <c r="D3" s="423"/>
      <c r="E3" s="423"/>
      <c r="F3" s="423"/>
      <c r="G3" s="120" t="s">
        <v>78</v>
      </c>
      <c r="H3" s="10" t="s">
        <v>69</v>
      </c>
      <c r="I3" s="121">
        <v>800</v>
      </c>
      <c r="J3" s="12"/>
      <c r="K3" s="423" t="s">
        <v>71</v>
      </c>
      <c r="L3" s="423"/>
      <c r="M3" s="121">
        <v>18</v>
      </c>
      <c r="N3" s="14"/>
      <c r="O3" s="14"/>
      <c r="P3" s="2"/>
      <c r="Q3" s="6"/>
      <c r="R3" s="7"/>
      <c r="S3" s="7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</row>
    <row r="4" spans="1:86" ht="3" customHeight="1">
      <c r="B4" s="2"/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4"/>
      <c r="O4" s="14"/>
    </row>
    <row r="5" spans="1:86" ht="21" customHeight="1">
      <c r="B5" s="2"/>
      <c r="C5" s="424" t="str">
        <f ca="1">'Free-Серия'!$C$5</f>
        <v/>
      </c>
      <c r="D5" s="424"/>
      <c r="E5" s="424"/>
      <c r="F5" s="424"/>
      <c r="G5" s="384"/>
      <c r="H5" s="10" t="s">
        <v>70</v>
      </c>
      <c r="I5" s="121">
        <v>400</v>
      </c>
      <c r="J5" s="12"/>
      <c r="K5" s="423" t="s">
        <v>74</v>
      </c>
      <c r="L5" s="423"/>
      <c r="M5" s="81">
        <f>ВесФасадаРасчетFF17</f>
        <v>4.4775999999999998</v>
      </c>
      <c r="N5" s="14"/>
      <c r="O5" s="14"/>
      <c r="R5" s="1"/>
      <c r="S5" s="115"/>
    </row>
    <row r="6" spans="1:86" s="24" customFormat="1" ht="15" customHeight="1" thickBot="1">
      <c r="A6" s="1"/>
      <c r="B6" s="19"/>
      <c r="C6" s="20"/>
      <c r="D6" s="20"/>
      <c r="E6" s="20"/>
      <c r="F6" s="20"/>
      <c r="G6" s="21"/>
      <c r="H6" s="16"/>
      <c r="I6" s="22"/>
      <c r="J6" s="12"/>
      <c r="K6" s="16"/>
      <c r="L6" s="16"/>
      <c r="M6" s="23"/>
      <c r="N6" s="14"/>
      <c r="O6" s="14"/>
      <c r="P6" s="2"/>
      <c r="Q6" s="6"/>
      <c r="R6" s="7"/>
      <c r="S6" s="7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</row>
    <row r="7" spans="1:86" s="24" customFormat="1" ht="18" customHeight="1" thickTop="1" thickBot="1">
      <c r="A7" s="1"/>
      <c r="B7" s="2"/>
      <c r="C7" s="383"/>
      <c r="D7" s="383"/>
      <c r="E7" s="383"/>
      <c r="F7" s="383"/>
      <c r="G7" s="384"/>
      <c r="H7" s="422" t="s">
        <v>533</v>
      </c>
      <c r="I7" s="422"/>
      <c r="J7" s="422"/>
      <c r="K7" s="425" t="s">
        <v>517</v>
      </c>
      <c r="L7" s="426"/>
      <c r="M7" s="427"/>
      <c r="N7" s="14"/>
      <c r="O7" s="14"/>
      <c r="P7" s="2"/>
      <c r="Q7" s="6"/>
      <c r="R7" s="7"/>
      <c r="S7" s="7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</row>
    <row r="8" spans="1:86" s="24" customFormat="1" ht="15" customHeight="1" thickTop="1">
      <c r="A8" s="1"/>
      <c r="B8" s="19"/>
      <c r="C8" s="20"/>
      <c r="D8" s="20"/>
      <c r="E8" s="20"/>
      <c r="F8" s="20"/>
      <c r="G8" s="21"/>
      <c r="H8" s="16"/>
      <c r="I8" s="22"/>
      <c r="J8" s="12"/>
      <c r="K8" s="16"/>
      <c r="L8" s="16"/>
      <c r="M8" s="23"/>
      <c r="N8" s="14"/>
      <c r="O8" s="14"/>
      <c r="P8" s="2"/>
      <c r="Q8" s="6"/>
      <c r="R8" s="7"/>
      <c r="S8" s="7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</row>
    <row r="9" spans="1:86" s="24" customFormat="1" ht="18" customHeight="1">
      <c r="A9" s="1"/>
      <c r="B9" s="2"/>
      <c r="C9" s="424" t="str">
        <f ca="1">'Free-Серия'!$C$5</f>
        <v/>
      </c>
      <c r="D9" s="424"/>
      <c r="E9" s="424"/>
      <c r="F9" s="424"/>
      <c r="G9" s="422" t="s">
        <v>239</v>
      </c>
      <c r="H9" s="422"/>
      <c r="I9" s="422"/>
      <c r="J9" s="422"/>
      <c r="K9" s="422"/>
      <c r="L9" s="422"/>
      <c r="M9" s="122" t="s">
        <v>198</v>
      </c>
      <c r="N9" s="14"/>
      <c r="O9" s="14"/>
      <c r="P9" s="2"/>
      <c r="Q9" s="6"/>
      <c r="R9" s="7"/>
      <c r="S9" s="7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</row>
    <row r="10" spans="1:86" s="24" customFormat="1" ht="3" customHeight="1">
      <c r="A10" s="1"/>
      <c r="B10" s="19"/>
      <c r="C10" s="15"/>
      <c r="D10" s="15"/>
      <c r="E10" s="15"/>
      <c r="F10" s="15"/>
      <c r="G10" s="21"/>
      <c r="H10" s="16"/>
      <c r="I10" s="22"/>
      <c r="J10" s="12"/>
      <c r="K10" s="16"/>
      <c r="L10" s="16"/>
      <c r="M10" s="23"/>
      <c r="N10" s="14"/>
      <c r="O10" s="14"/>
      <c r="P10" s="2"/>
      <c r="Q10" s="6"/>
      <c r="R10" s="7"/>
      <c r="S10" s="7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</row>
    <row r="11" spans="1:86" s="24" customFormat="1" ht="18" customHeight="1">
      <c r="A11" s="1"/>
      <c r="B11" s="19"/>
      <c r="C11" s="424" t="str">
        <f ca="1">'Free-Серия'!$C$5</f>
        <v/>
      </c>
      <c r="D11" s="424"/>
      <c r="E11" s="424"/>
      <c r="F11" s="424"/>
      <c r="G11" s="422" t="s">
        <v>202</v>
      </c>
      <c r="H11" s="422"/>
      <c r="I11" s="422"/>
      <c r="J11" s="422"/>
      <c r="K11" s="422"/>
      <c r="L11" s="422"/>
      <c r="M11" s="123" t="s">
        <v>186</v>
      </c>
      <c r="N11" s="14"/>
      <c r="O11" s="14"/>
      <c r="P11" s="2"/>
      <c r="Q11" s="6"/>
      <c r="R11" s="7"/>
      <c r="S11" s="7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</row>
    <row r="12" spans="1:86" s="24" customFormat="1" ht="3" customHeight="1">
      <c r="A12" s="1"/>
      <c r="B12" s="19"/>
      <c r="C12" s="20"/>
      <c r="D12" s="20"/>
      <c r="E12" s="20"/>
      <c r="F12" s="20"/>
      <c r="G12" s="21"/>
      <c r="H12" s="16"/>
      <c r="I12" s="22"/>
      <c r="J12" s="12"/>
      <c r="K12" s="16"/>
      <c r="L12" s="16"/>
      <c r="M12" s="23"/>
      <c r="N12" s="14"/>
      <c r="O12" s="14"/>
      <c r="P12" s="2"/>
      <c r="Q12" s="6"/>
      <c r="R12" s="7"/>
      <c r="S12" s="7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</row>
    <row r="13" spans="1:86" s="24" customFormat="1" ht="18" customHeight="1">
      <c r="A13" s="1"/>
      <c r="B13" s="2"/>
      <c r="C13" s="424" t="str">
        <f ca="1">'Free-Серия'!$C$5</f>
        <v/>
      </c>
      <c r="D13" s="424"/>
      <c r="E13" s="424"/>
      <c r="F13" s="424"/>
      <c r="G13" s="422" t="s">
        <v>196</v>
      </c>
      <c r="H13" s="422"/>
      <c r="I13" s="422"/>
      <c r="J13" s="422"/>
      <c r="K13" s="422"/>
      <c r="L13" s="422"/>
      <c r="M13" s="123" t="s">
        <v>186</v>
      </c>
      <c r="N13" s="14"/>
      <c r="O13" s="14"/>
      <c r="P13" s="2"/>
      <c r="Q13" s="6"/>
      <c r="R13" s="7"/>
      <c r="S13" s="7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</row>
    <row r="14" spans="1:86" s="24" customFormat="1" ht="15" customHeight="1">
      <c r="A14" s="1"/>
      <c r="B14" s="19"/>
      <c r="C14" s="20"/>
      <c r="D14" s="20"/>
      <c r="E14" s="20"/>
      <c r="F14" s="20"/>
      <c r="G14" s="21"/>
      <c r="H14" s="16"/>
      <c r="I14" s="22"/>
      <c r="J14" s="12"/>
      <c r="K14" s="16"/>
      <c r="L14" s="16"/>
      <c r="M14" s="392" t="s">
        <v>553</v>
      </c>
      <c r="N14" s="14"/>
      <c r="O14" s="14"/>
      <c r="P14" s="2"/>
      <c r="Q14" s="6"/>
      <c r="R14" s="7"/>
      <c r="S14" s="7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</row>
    <row r="15" spans="1:86" s="24" customFormat="1" ht="18" customHeight="1">
      <c r="A15" s="1"/>
      <c r="B15" s="2"/>
      <c r="C15" s="383"/>
      <c r="D15" s="383"/>
      <c r="E15" s="383"/>
      <c r="F15" s="383"/>
      <c r="G15" s="384"/>
      <c r="H15" s="422" t="s">
        <v>534</v>
      </c>
      <c r="I15" s="422"/>
      <c r="J15" s="422"/>
      <c r="K15" s="428" t="s">
        <v>531</v>
      </c>
      <c r="L15" s="428"/>
      <c r="M15" s="428"/>
      <c r="N15" s="14"/>
      <c r="O15" s="14"/>
      <c r="P15" s="2"/>
      <c r="Q15" s="6"/>
      <c r="R15" s="7"/>
      <c r="S15" s="7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</row>
    <row r="16" spans="1:86" s="24" customFormat="1" ht="6" customHeight="1">
      <c r="A16" s="1"/>
      <c r="B16" s="19"/>
      <c r="C16" s="25"/>
      <c r="D16" s="26"/>
      <c r="E16" s="26"/>
      <c r="F16" s="27"/>
      <c r="G16" s="12"/>
      <c r="H16" s="16"/>
      <c r="I16" s="28"/>
      <c r="J16" s="12"/>
      <c r="K16" s="16"/>
      <c r="L16" s="16"/>
      <c r="M16" s="23"/>
      <c r="N16" s="14"/>
      <c r="O16" s="14"/>
      <c r="P16" s="2"/>
      <c r="Q16" s="6"/>
      <c r="R16" s="7"/>
      <c r="S16" s="7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</row>
    <row r="17" spans="1:86" ht="21" customHeight="1">
      <c r="B17" s="2"/>
      <c r="C17" s="30" t="s">
        <v>51</v>
      </c>
      <c r="D17" s="31"/>
      <c r="E17" s="31"/>
      <c r="F17" s="31"/>
      <c r="G17" s="32" t="s">
        <v>33</v>
      </c>
      <c r="H17" s="32"/>
      <c r="I17" s="32"/>
      <c r="J17" s="33"/>
      <c r="K17" s="34"/>
      <c r="L17" s="34"/>
      <c r="M17" s="35"/>
      <c r="N17" s="35"/>
      <c r="O17" s="35"/>
      <c r="R17" s="1"/>
      <c r="S17" s="115"/>
    </row>
    <row r="18" spans="1:86" ht="21" customHeight="1" thickBot="1">
      <c r="B18" s="2"/>
      <c r="C18" s="82"/>
      <c r="D18" s="36"/>
      <c r="E18" s="316"/>
      <c r="F18" s="36"/>
      <c r="G18" s="38"/>
      <c r="H18" s="38"/>
      <c r="I18" s="38"/>
      <c r="J18" s="36"/>
      <c r="K18" s="36"/>
      <c r="L18" s="38" t="s">
        <v>47</v>
      </c>
      <c r="M18" s="39"/>
      <c r="N18" s="39"/>
      <c r="O18" s="38"/>
      <c r="R18" s="1"/>
      <c r="S18" s="115"/>
    </row>
    <row r="19" spans="1:86" ht="17.100000000000001" customHeight="1" thickTop="1" thickBot="1">
      <c r="B19" s="2"/>
      <c r="C19" s="41">
        <f>IFERROR(MATCH(SMALL(FFL17Key,1),FFL17Key,0),0)</f>
        <v>18</v>
      </c>
      <c r="D19" s="42" t="s">
        <v>0</v>
      </c>
      <c r="E19" s="43">
        <v>2</v>
      </c>
      <c r="F19" s="44" t="s">
        <v>1</v>
      </c>
      <c r="G19" s="44" t="s">
        <v>2</v>
      </c>
      <c r="H19" s="44"/>
      <c r="I19" s="44"/>
      <c r="J19" s="44" t="s">
        <v>59</v>
      </c>
      <c r="K19" s="44" t="s">
        <v>3</v>
      </c>
      <c r="L19" s="44" t="s">
        <v>34</v>
      </c>
      <c r="M19" s="44"/>
      <c r="N19" s="45" t="s">
        <v>200</v>
      </c>
      <c r="O19" s="46"/>
    </row>
    <row r="20" spans="1:86" s="24" customFormat="1" ht="17.100000000000001" customHeight="1" thickTop="1">
      <c r="B20" s="2"/>
      <c r="C20" s="41">
        <f t="shared" ref="C20:C27" ca="1" si="0">MATCH(E20,ИндексСправ,0)</f>
        <v>65</v>
      </c>
      <c r="D20" s="47">
        <v>1</v>
      </c>
      <c r="E20" s="48" t="str">
        <f ca="1">INDEX(FFL17_Арт,FFL17Index,1+Корректор)</f>
        <v>372.91.175</v>
      </c>
      <c r="F20" s="48" t="str">
        <f ca="1">E20</f>
        <v>372.91.175</v>
      </c>
      <c r="G20" s="419" t="str">
        <f t="shared" ref="G20:G25" ca="1" si="1">IF(F20&lt;&gt;"",INDEX(СправАссорт,фСправТоварFFL,4),"")</f>
        <v>Подъемный механизм FREE FLAP 1.7 - Model C; правый</v>
      </c>
      <c r="H20" s="420"/>
      <c r="I20" s="421"/>
      <c r="J20" s="47">
        <f ca="1">IF(F20&lt;&gt;"",1,"")</f>
        <v>1</v>
      </c>
      <c r="K20" s="49" t="str">
        <f ca="1">IF($F20&lt;&gt;"",Таб_Вес!$AC$35,"")</f>
        <v>шт</v>
      </c>
      <c r="L20" s="50">
        <f t="shared" ref="L20" ca="1" si="2">IF(AND(J20&lt;&gt;"",M20=""),INDEX(СправАссорт,C20,7),"")</f>
        <v>0</v>
      </c>
      <c r="M20" s="411"/>
      <c r="N20" s="51">
        <f t="shared" ref="N20" ca="1" si="3">IF(J20&lt;&gt;"",J20*LARGE(L20:M20,1),"")</f>
        <v>0</v>
      </c>
      <c r="O20" s="52"/>
      <c r="P20" s="2"/>
      <c r="Q20" s="6"/>
      <c r="R20" s="7"/>
      <c r="S20" s="7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</row>
    <row r="21" spans="1:86" s="24" customFormat="1" ht="17.100000000000001" customHeight="1">
      <c r="B21" s="2"/>
      <c r="C21" s="41">
        <f t="shared" ca="1" si="0"/>
        <v>68</v>
      </c>
      <c r="D21" s="53">
        <v>2</v>
      </c>
      <c r="E21" s="48" t="str">
        <f ca="1">INDEX(FFL17_Арт,FFL17Index,2+Корректор)</f>
        <v>372.91.176</v>
      </c>
      <c r="F21" s="49" t="str">
        <f ca="1">E21</f>
        <v>372.91.176</v>
      </c>
      <c r="G21" s="419" t="str">
        <f t="shared" ca="1" si="1"/>
        <v>Подъемный механизм FREE FLAP 1.7 - Model C; левый</v>
      </c>
      <c r="H21" s="420"/>
      <c r="I21" s="421"/>
      <c r="J21" s="47">
        <f ca="1">IF(F21&lt;&gt;"",1,"")</f>
        <v>1</v>
      </c>
      <c r="K21" s="49" t="str">
        <f ca="1">IF($F21&lt;&gt;"",Таб_Вес!$AC$35,"")</f>
        <v>шт</v>
      </c>
      <c r="L21" s="50">
        <f t="shared" ref="L21:L27" ca="1" si="4">IF(AND(J21&lt;&gt;"",M21=""),INDEX(СправАссорт,C21,7),"")</f>
        <v>0</v>
      </c>
      <c r="M21" s="411"/>
      <c r="N21" s="51">
        <f t="shared" ref="N21:N27" ca="1" si="5">IF(J21&lt;&gt;"",J21*LARGE(L21:M21,1),"")</f>
        <v>0</v>
      </c>
      <c r="O21" s="52"/>
      <c r="P21" s="2"/>
      <c r="Q21" s="6"/>
      <c r="R21" s="7"/>
      <c r="S21" s="7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</row>
    <row r="22" spans="1:86" s="24" customFormat="1" ht="17.100000000000001" customHeight="1">
      <c r="B22" s="2"/>
      <c r="C22" s="41">
        <f t="shared" ca="1" si="0"/>
        <v>118</v>
      </c>
      <c r="D22" s="53">
        <v>3</v>
      </c>
      <c r="E22" s="48" t="str">
        <f ca="1">VLOOKUP(FFL17Цвет,Справ!$E$36:$G$37,2,0+Корректор)</f>
        <v>372.91.133</v>
      </c>
      <c r="F22" s="49" t="str">
        <f ca="1">E22</f>
        <v>372.91.133</v>
      </c>
      <c r="G22" s="419" t="str">
        <f t="shared" ca="1" si="1"/>
        <v>Заглушка FREE flap 1.7 серая</v>
      </c>
      <c r="H22" s="420"/>
      <c r="I22" s="421"/>
      <c r="J22" s="47">
        <f ca="1">IF(F22&lt;&gt;"",1,"")</f>
        <v>1</v>
      </c>
      <c r="K22" s="49" t="str">
        <f ca="1">IF($F22&lt;&gt;"",Таб_Вес!$AC$35,"")</f>
        <v>шт</v>
      </c>
      <c r="L22" s="50">
        <f t="shared" ca="1" si="4"/>
        <v>0</v>
      </c>
      <c r="M22" s="411"/>
      <c r="N22" s="51">
        <f t="shared" ca="1" si="5"/>
        <v>0</v>
      </c>
      <c r="O22" s="52"/>
      <c r="P22" s="2"/>
      <c r="Q22" s="6"/>
      <c r="R22" s="7"/>
      <c r="S22" s="7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</row>
    <row r="23" spans="1:86" s="24" customFormat="1" ht="17.100000000000001" customHeight="1">
      <c r="B23" s="2"/>
      <c r="C23" s="41">
        <f t="shared" ca="1" si="0"/>
        <v>12</v>
      </c>
      <c r="D23" s="55">
        <v>4</v>
      </c>
      <c r="E23" s="56" t="str">
        <f ca="1">INDEX(Карта!$B$2:$S$22,ROW()-ROW($D$19),INDIRECT(ADDRESS(ROW($D$19),COLUMN()),1)*2-1+Корректор)</f>
        <v>372.91.141</v>
      </c>
      <c r="F23" s="83" t="str">
        <f ca="1">E23</f>
        <v>372.91.141</v>
      </c>
      <c r="G23" s="416" t="str">
        <f t="shared" ca="1" si="1"/>
        <v>Крепления FREE Flap / Swing / Up</v>
      </c>
      <c r="H23" s="417"/>
      <c r="I23" s="418"/>
      <c r="J23" s="55">
        <f ca="1">IF(F23&lt;&gt;"",2,"")</f>
        <v>2</v>
      </c>
      <c r="K23" s="57" t="str">
        <f ca="1">IF($F23&lt;&gt;"",Таб_Вес!$AC$35,"")</f>
        <v>шт</v>
      </c>
      <c r="L23" s="58">
        <f t="shared" ca="1" si="4"/>
        <v>0</v>
      </c>
      <c r="M23" s="412"/>
      <c r="N23" s="59">
        <f t="shared" ca="1" si="5"/>
        <v>0</v>
      </c>
      <c r="O23" s="52"/>
      <c r="P23" s="2"/>
      <c r="Q23" s="6"/>
      <c r="R23" s="7"/>
      <c r="S23" s="7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</row>
    <row r="24" spans="1:86" s="24" customFormat="1" ht="17.100000000000001" customHeight="1">
      <c r="B24" s="2"/>
      <c r="C24" s="41">
        <f t="shared" ca="1" si="0"/>
        <v>13</v>
      </c>
      <c r="D24" s="84" t="str">
        <f>IF(F24&lt;&gt;"",LARGE(D20:D23,1)+1,"")</f>
        <v/>
      </c>
      <c r="E24" s="61" t="str">
        <f ca="1">INDEX(Карта!$B$2:$S$22,ROW()-ROW($D$19),INDIRECT(ADDRESS(ROW($D$19),COLUMN()),1)*2-1+Корректор)</f>
        <v>372.91.499</v>
      </c>
      <c r="F24" s="62" t="str">
        <f>IF(M11=Таб_Вес!$AC$25,E24,"")</f>
        <v/>
      </c>
      <c r="G24" s="415" t="str">
        <f t="shared" si="1"/>
        <v/>
      </c>
      <c r="H24" s="415"/>
      <c r="I24" s="415"/>
      <c r="J24" s="53" t="str">
        <f>IF(F24&lt;&gt;"",1,"")</f>
        <v/>
      </c>
      <c r="K24" s="62" t="str">
        <f>IF($F24&lt;&gt;"",Таб_Вес!$AC$35,"")</f>
        <v/>
      </c>
      <c r="L24" s="63" t="str">
        <f t="shared" si="4"/>
        <v/>
      </c>
      <c r="M24" s="413"/>
      <c r="N24" s="64" t="str">
        <f t="shared" si="5"/>
        <v/>
      </c>
      <c r="O24" s="52"/>
      <c r="P24" s="2"/>
      <c r="Q24" s="6"/>
      <c r="R24" s="7"/>
      <c r="S24" s="7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</row>
    <row r="25" spans="1:86" s="24" customFormat="1" ht="17.100000000000001" customHeight="1">
      <c r="B25" s="2"/>
      <c r="C25" s="41">
        <f t="shared" ca="1" si="0"/>
        <v>14</v>
      </c>
      <c r="D25" s="84" t="str">
        <f>IF(F25&lt;&gt;"",LARGE(D20:D24,1)+1,"")</f>
        <v/>
      </c>
      <c r="E25" s="85" t="str">
        <f ca="1">INDEX(Карта!$B$2:$S$22,ROW()-ROW($D$19),INDIRECT(ADDRESS(ROW($D$19),COLUMN()),1)*2-1+Корректор)</f>
        <v>372.91.599</v>
      </c>
      <c r="F25" s="62" t="str">
        <f>IF(M13=Таб_Вес!$AC$25,E25,"")</f>
        <v/>
      </c>
      <c r="G25" s="415" t="str">
        <f t="shared" si="1"/>
        <v/>
      </c>
      <c r="H25" s="415"/>
      <c r="I25" s="415"/>
      <c r="J25" s="53" t="str">
        <f>IF(F25&lt;&gt;"",1,"")</f>
        <v/>
      </c>
      <c r="K25" s="62" t="str">
        <f>IF($F25&lt;&gt;"",Таб_Вес!$AC$35,"")</f>
        <v/>
      </c>
      <c r="L25" s="63" t="str">
        <f t="shared" si="4"/>
        <v/>
      </c>
      <c r="M25" s="413"/>
      <c r="N25" s="64" t="str">
        <f t="shared" si="5"/>
        <v/>
      </c>
      <c r="O25" s="52"/>
      <c r="P25" s="2"/>
      <c r="Q25" s="6"/>
      <c r="R25" s="7"/>
      <c r="S25" s="7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</row>
    <row r="26" spans="1:86" s="24" customFormat="1" ht="17.100000000000001" customHeight="1">
      <c r="A26" s="24">
        <f ca="1">IFERROR(MATCH(SMALL(FFL17_PUSH_Толкатель,1),FFL17_PUSH_Толкатель,0),0)</f>
        <v>61</v>
      </c>
      <c r="B26" s="2"/>
      <c r="C26" s="41">
        <f t="shared" ca="1" si="0"/>
        <v>122</v>
      </c>
      <c r="D26" s="84" t="str">
        <f t="shared" ref="D26:D27" si="6">IF(F26&lt;&gt;"",LARGE(D21:D25,1)+1,"")</f>
        <v/>
      </c>
      <c r="E26" s="48" t="str">
        <f ca="1">INDEX(IF(K15=Справ!$I$24,ТАБ_Толкатель_Врезной,ТАБ_Толкатель_Накладной),A26,Корректор)</f>
        <v>372.91.482</v>
      </c>
      <c r="F26" s="62" t="str">
        <f>IF(FLL17_PUSH=Справ!$I$22,E26,"")</f>
        <v/>
      </c>
      <c r="G26" s="415" t="str">
        <f t="shared" ref="G26:G27" si="7">IF(F26&lt;&gt;"",INDEX(СправАссорт,фСправТоварFFL,4),"")</f>
        <v/>
      </c>
      <c r="H26" s="415"/>
      <c r="I26" s="415"/>
      <c r="J26" s="53" t="str">
        <f>IF(F26&lt;&gt;"",INDEX(ТАБ_FL17_Кол_во,A26,Корректор),"")</f>
        <v/>
      </c>
      <c r="K26" s="62" t="str">
        <f>IF($F26&lt;&gt;"",Таб_Вес!$AC$35,"")</f>
        <v/>
      </c>
      <c r="L26" s="63" t="str">
        <f t="shared" si="4"/>
        <v/>
      </c>
      <c r="M26" s="413"/>
      <c r="N26" s="64" t="str">
        <f t="shared" si="5"/>
        <v/>
      </c>
      <c r="O26" s="52"/>
      <c r="P26" s="2"/>
      <c r="Q26" s="6"/>
      <c r="R26" s="7"/>
      <c r="S26" s="7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</row>
    <row r="27" spans="1:86" s="24" customFormat="1" ht="17.100000000000001" customHeight="1">
      <c r="B27" s="2"/>
      <c r="C27" s="41">
        <f t="shared" ca="1" si="0"/>
        <v>126</v>
      </c>
      <c r="D27" s="84" t="str">
        <f t="shared" si="6"/>
        <v/>
      </c>
      <c r="E27" s="85" t="str">
        <f ca="1">INDEX(Карта!$B$2:$S$22,ROW()-ROW($D$19),INDIRECT(ADDRESS(ROW($D$19),COLUMN()),1)*2-1+Корректор)</f>
        <v>372.91.479</v>
      </c>
      <c r="F27" s="62" t="str">
        <f>IF(AND(FLL17_Толкатель=Справ!$I$25,FLL17_PUSH=Справ!$I$22),E27,"")</f>
        <v/>
      </c>
      <c r="G27" s="415" t="str">
        <f t="shared" si="7"/>
        <v/>
      </c>
      <c r="H27" s="415"/>
      <c r="I27" s="415"/>
      <c r="J27" s="53" t="str">
        <f>IF(F27&lt;&gt;"",J26,"")</f>
        <v/>
      </c>
      <c r="K27" s="62" t="str">
        <f>IF($F27&lt;&gt;"",Таб_Вес!$AC$35,"")</f>
        <v/>
      </c>
      <c r="L27" s="63" t="str">
        <f t="shared" si="4"/>
        <v/>
      </c>
      <c r="M27" s="413"/>
      <c r="N27" s="64" t="str">
        <f t="shared" si="5"/>
        <v/>
      </c>
      <c r="O27" s="52"/>
      <c r="P27" s="2"/>
      <c r="Q27" s="6"/>
      <c r="R27" s="7"/>
      <c r="S27" s="7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</row>
    <row r="28" spans="1:86" s="24" customFormat="1" ht="17.100000000000001" customHeight="1">
      <c r="A28" s="86"/>
      <c r="B28" s="19"/>
      <c r="C28" s="87" t="s">
        <v>52</v>
      </c>
      <c r="D28" s="88"/>
      <c r="E28" s="88"/>
      <c r="F28" s="89"/>
      <c r="G28" s="90"/>
      <c r="H28" s="90"/>
      <c r="I28" s="90"/>
      <c r="J28" s="91"/>
      <c r="K28" s="89"/>
      <c r="L28" s="92" t="s">
        <v>29</v>
      </c>
      <c r="M28" s="93"/>
      <c r="N28" s="93">
        <f ca="1">SUM(N20:N25)</f>
        <v>0</v>
      </c>
      <c r="O28" s="94"/>
      <c r="P28" s="2"/>
      <c r="Q28" s="6"/>
      <c r="R28" s="7"/>
      <c r="S28" s="7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</row>
    <row r="29" spans="1:86" s="24" customFormat="1" ht="8.1" customHeight="1">
      <c r="A29" s="1"/>
      <c r="B29" s="19"/>
      <c r="C29" s="72"/>
      <c r="D29" s="73"/>
      <c r="E29" s="73"/>
      <c r="F29" s="74"/>
      <c r="G29" s="75"/>
      <c r="H29" s="75"/>
      <c r="I29" s="75"/>
      <c r="J29" s="76"/>
      <c r="K29" s="74"/>
      <c r="L29" s="77"/>
      <c r="M29" s="78"/>
      <c r="N29" s="78"/>
      <c r="O29" s="79"/>
      <c r="P29" s="80"/>
      <c r="Q29" s="6"/>
      <c r="R29" s="7"/>
      <c r="S29" s="7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</row>
    <row r="30" spans="1:86" s="24" customFormat="1" ht="15.95" customHeight="1">
      <c r="A30" s="1"/>
      <c r="B30" s="2"/>
      <c r="C30" s="2"/>
      <c r="D30" s="3"/>
      <c r="E30" s="3"/>
      <c r="F30" s="3"/>
      <c r="G30" s="3"/>
      <c r="H30" s="3"/>
      <c r="I30" s="3"/>
      <c r="J30" s="3"/>
      <c r="K30" s="4"/>
      <c r="L30" s="3"/>
      <c r="M30" s="5"/>
      <c r="N30" s="5"/>
      <c r="O30" s="5"/>
      <c r="P30" s="2"/>
      <c r="Q30" s="6"/>
      <c r="R30" s="7"/>
      <c r="S30" s="7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</row>
    <row r="31" spans="1:86" s="24" customFormat="1" ht="6" customHeight="1">
      <c r="A31" s="1"/>
      <c r="B31" s="2"/>
      <c r="C31" s="10"/>
      <c r="D31" s="10"/>
      <c r="E31" s="10"/>
      <c r="F31" s="10"/>
      <c r="G31" s="11"/>
      <c r="H31" s="11"/>
      <c r="I31" s="11"/>
      <c r="J31" s="12"/>
      <c r="K31" s="13"/>
      <c r="L31" s="12"/>
      <c r="M31" s="14"/>
      <c r="N31" s="14"/>
      <c r="O31" s="14"/>
      <c r="P31" s="2"/>
      <c r="Q31" s="6"/>
      <c r="R31" s="7"/>
      <c r="S31" s="7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</row>
    <row r="32" spans="1:86" s="24" customFormat="1" ht="18" customHeight="1">
      <c r="A32" s="1">
        <v>3</v>
      </c>
      <c r="B32" s="2"/>
      <c r="C32" s="423" t="s">
        <v>80</v>
      </c>
      <c r="D32" s="423"/>
      <c r="E32" s="423"/>
      <c r="F32" s="423"/>
      <c r="G32" s="120" t="s">
        <v>78</v>
      </c>
      <c r="H32" s="10" t="s">
        <v>69</v>
      </c>
      <c r="I32" s="121">
        <v>900</v>
      </c>
      <c r="J32" s="12"/>
      <c r="K32" s="423" t="s">
        <v>71</v>
      </c>
      <c r="L32" s="423"/>
      <c r="M32" s="121">
        <v>19</v>
      </c>
      <c r="N32" s="14"/>
      <c r="O32" s="14"/>
      <c r="P32" s="2"/>
      <c r="Q32" s="6"/>
      <c r="R32" s="7"/>
      <c r="S32" s="7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</row>
    <row r="33" spans="1:86" ht="3" customHeight="1">
      <c r="B33" s="2"/>
      <c r="C33" s="15"/>
      <c r="D33" s="15"/>
      <c r="E33" s="15"/>
      <c r="F33" s="15"/>
      <c r="G33" s="16"/>
      <c r="H33" s="16"/>
      <c r="I33" s="16"/>
      <c r="J33" s="16"/>
      <c r="K33" s="16"/>
      <c r="L33" s="16"/>
      <c r="M33" s="16"/>
      <c r="N33" s="14"/>
      <c r="O33" s="14"/>
    </row>
    <row r="34" spans="1:86" ht="21" customHeight="1">
      <c r="B34" s="2"/>
      <c r="C34" s="424" t="str">
        <f ca="1">'Free-Серия'!$C$5</f>
        <v/>
      </c>
      <c r="D34" s="424"/>
      <c r="E34" s="424"/>
      <c r="F34" s="424"/>
      <c r="G34" s="17"/>
      <c r="H34" s="10" t="s">
        <v>70</v>
      </c>
      <c r="I34" s="121">
        <v>650</v>
      </c>
      <c r="J34" s="12"/>
      <c r="K34" s="423" t="s">
        <v>74</v>
      </c>
      <c r="L34" s="423"/>
      <c r="M34" s="18">
        <f>ВесФасадаРасчетFF35</f>
        <v>8.5473999999999997</v>
      </c>
      <c r="N34" s="14"/>
      <c r="O34" s="14"/>
      <c r="R34" s="1"/>
      <c r="S34" s="115"/>
    </row>
    <row r="35" spans="1:86" s="24" customFormat="1" ht="15" customHeight="1" thickBot="1">
      <c r="A35" s="1"/>
      <c r="B35" s="19"/>
      <c r="C35" s="20"/>
      <c r="D35" s="20"/>
      <c r="E35" s="20"/>
      <c r="F35" s="20"/>
      <c r="G35" s="21"/>
      <c r="H35" s="16"/>
      <c r="I35" s="22"/>
      <c r="J35" s="12"/>
      <c r="K35" s="16"/>
      <c r="L35" s="16"/>
      <c r="M35" s="23"/>
      <c r="N35" s="14"/>
      <c r="O35" s="14"/>
      <c r="P35" s="2"/>
      <c r="Q35" s="6"/>
      <c r="R35" s="7"/>
      <c r="S35" s="7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</row>
    <row r="36" spans="1:86" s="24" customFormat="1" ht="18" customHeight="1" thickTop="1" thickBot="1">
      <c r="A36" s="1"/>
      <c r="B36" s="2"/>
      <c r="C36" s="383"/>
      <c r="D36" s="383"/>
      <c r="E36" s="383"/>
      <c r="F36" s="383"/>
      <c r="G36" s="384"/>
      <c r="H36" s="422" t="s">
        <v>533</v>
      </c>
      <c r="I36" s="422"/>
      <c r="J36" s="422"/>
      <c r="K36" s="425" t="s">
        <v>517</v>
      </c>
      <c r="L36" s="426"/>
      <c r="M36" s="427"/>
      <c r="N36" s="14"/>
      <c r="O36" s="14"/>
      <c r="P36" s="2"/>
      <c r="Q36" s="6"/>
      <c r="R36" s="7"/>
      <c r="S36" s="7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</row>
    <row r="37" spans="1:86" s="24" customFormat="1" ht="15" customHeight="1" thickTop="1">
      <c r="A37" s="1"/>
      <c r="B37" s="19"/>
      <c r="C37" s="20"/>
      <c r="D37" s="20"/>
      <c r="E37" s="20"/>
      <c r="F37" s="20"/>
      <c r="G37" s="21"/>
      <c r="H37" s="16"/>
      <c r="I37" s="22"/>
      <c r="J37" s="12"/>
      <c r="K37" s="16"/>
      <c r="L37" s="16"/>
      <c r="M37" s="23"/>
      <c r="N37" s="14"/>
      <c r="O37" s="14"/>
      <c r="P37" s="2"/>
      <c r="Q37" s="6"/>
      <c r="R37" s="7"/>
      <c r="S37" s="7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</row>
    <row r="38" spans="1:86" s="24" customFormat="1" ht="18" customHeight="1">
      <c r="A38" s="1"/>
      <c r="B38" s="2"/>
      <c r="C38" s="424" t="str">
        <f ca="1">'Free-Серия'!$C$5</f>
        <v/>
      </c>
      <c r="D38" s="424"/>
      <c r="E38" s="424"/>
      <c r="F38" s="424"/>
      <c r="G38" s="422" t="s">
        <v>239</v>
      </c>
      <c r="H38" s="422"/>
      <c r="I38" s="422"/>
      <c r="J38" s="422"/>
      <c r="K38" s="422"/>
      <c r="L38" s="422"/>
      <c r="M38" s="122" t="s">
        <v>198</v>
      </c>
      <c r="N38" s="14"/>
      <c r="O38" s="14"/>
      <c r="P38" s="2"/>
      <c r="Q38" s="6"/>
      <c r="R38" s="7"/>
      <c r="S38" s="7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</row>
    <row r="39" spans="1:86" s="24" customFormat="1" ht="3" customHeight="1">
      <c r="A39" s="1"/>
      <c r="B39" s="19"/>
      <c r="C39" s="20"/>
      <c r="D39" s="20"/>
      <c r="E39" s="20"/>
      <c r="F39" s="20"/>
      <c r="G39" s="21"/>
      <c r="H39" s="16"/>
      <c r="I39" s="22"/>
      <c r="J39" s="12"/>
      <c r="K39" s="16"/>
      <c r="L39" s="16"/>
      <c r="M39" s="23"/>
      <c r="N39" s="14"/>
      <c r="O39" s="14"/>
      <c r="P39" s="2"/>
      <c r="Q39" s="6"/>
      <c r="R39" s="7"/>
      <c r="S39" s="7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</row>
    <row r="40" spans="1:86" s="24" customFormat="1" ht="18" customHeight="1">
      <c r="A40" s="1"/>
      <c r="B40" s="2"/>
      <c r="C40" s="424" t="str">
        <f ca="1">'Free-Серия'!$C$5</f>
        <v/>
      </c>
      <c r="D40" s="424"/>
      <c r="E40" s="424"/>
      <c r="F40" s="424"/>
      <c r="G40" s="422" t="s">
        <v>196</v>
      </c>
      <c r="H40" s="422"/>
      <c r="I40" s="422"/>
      <c r="J40" s="422"/>
      <c r="K40" s="422"/>
      <c r="L40" s="422"/>
      <c r="M40" s="123" t="s">
        <v>186</v>
      </c>
      <c r="N40" s="14"/>
      <c r="O40" s="14"/>
      <c r="P40" s="2"/>
      <c r="Q40" s="6"/>
      <c r="R40" s="7"/>
      <c r="S40" s="7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</row>
    <row r="41" spans="1:86" s="24" customFormat="1" ht="15" customHeight="1">
      <c r="A41" s="1"/>
      <c r="B41" s="19"/>
      <c r="C41" s="20"/>
      <c r="D41" s="20"/>
      <c r="E41" s="20"/>
      <c r="F41" s="20"/>
      <c r="G41" s="21"/>
      <c r="H41" s="16"/>
      <c r="I41" s="22"/>
      <c r="J41" s="12"/>
      <c r="K41" s="16"/>
      <c r="L41" s="16"/>
      <c r="M41" s="392" t="s">
        <v>553</v>
      </c>
      <c r="N41" s="14"/>
      <c r="O41" s="14"/>
      <c r="P41" s="2"/>
      <c r="Q41" s="6"/>
      <c r="R41" s="7"/>
      <c r="S41" s="7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</row>
    <row r="42" spans="1:86" s="24" customFormat="1" ht="18" customHeight="1">
      <c r="A42" s="1"/>
      <c r="B42" s="2"/>
      <c r="C42" s="383"/>
      <c r="D42" s="383"/>
      <c r="E42" s="383"/>
      <c r="F42" s="383"/>
      <c r="G42" s="384"/>
      <c r="H42" s="422" t="s">
        <v>534</v>
      </c>
      <c r="I42" s="422"/>
      <c r="J42" s="422"/>
      <c r="K42" s="428" t="s">
        <v>531</v>
      </c>
      <c r="L42" s="428"/>
      <c r="M42" s="428"/>
      <c r="N42" s="14"/>
      <c r="O42" s="14"/>
      <c r="P42" s="2"/>
      <c r="Q42" s="6"/>
      <c r="R42" s="7"/>
      <c r="S42" s="7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</row>
    <row r="43" spans="1:86" s="24" customFormat="1" ht="6" customHeight="1">
      <c r="A43" s="1"/>
      <c r="B43" s="19"/>
      <c r="C43" s="21"/>
      <c r="D43" s="26"/>
      <c r="E43" s="26"/>
      <c r="F43" s="27"/>
      <c r="G43" s="95"/>
      <c r="H43" s="16"/>
      <c r="I43" s="22"/>
      <c r="J43" s="95"/>
      <c r="K43" s="16"/>
      <c r="L43" s="16"/>
      <c r="M43" s="23"/>
      <c r="N43" s="14"/>
      <c r="O43" s="14"/>
      <c r="P43" s="2"/>
      <c r="Q43" s="6"/>
      <c r="R43" s="7"/>
      <c r="S43" s="7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</row>
    <row r="44" spans="1:86" ht="21" customHeight="1">
      <c r="B44" s="2"/>
      <c r="C44" s="30" t="s">
        <v>51</v>
      </c>
      <c r="D44" s="31"/>
      <c r="E44" s="31"/>
      <c r="F44" s="31"/>
      <c r="G44" s="32" t="s">
        <v>32</v>
      </c>
      <c r="H44" s="32"/>
      <c r="I44" s="32"/>
      <c r="J44" s="33"/>
      <c r="K44" s="34"/>
      <c r="L44" s="34"/>
      <c r="M44" s="35"/>
      <c r="N44" s="35"/>
      <c r="O44" s="35"/>
      <c r="R44" s="1"/>
      <c r="S44" s="115"/>
    </row>
    <row r="45" spans="1:86" ht="21" customHeight="1" thickBot="1">
      <c r="B45" s="2"/>
      <c r="C45" s="41"/>
      <c r="D45" s="36"/>
      <c r="E45" s="316"/>
      <c r="F45" s="36"/>
      <c r="G45" s="38"/>
      <c r="H45" s="38"/>
      <c r="I45" s="38"/>
      <c r="J45" s="36"/>
      <c r="K45" s="36"/>
      <c r="L45" s="38" t="s">
        <v>47</v>
      </c>
      <c r="M45" s="39"/>
      <c r="N45" s="39"/>
      <c r="O45" s="38"/>
      <c r="R45" s="1"/>
      <c r="S45" s="115"/>
    </row>
    <row r="46" spans="1:86" ht="17.100000000000001" customHeight="1" thickTop="1" thickBot="1">
      <c r="B46" s="2"/>
      <c r="C46" s="41">
        <f>IFERROR(MATCH(SMALL(FFL315Key,1),FFL315Key,0),0)</f>
        <v>21</v>
      </c>
      <c r="D46" s="42" t="s">
        <v>0</v>
      </c>
      <c r="E46" s="43">
        <v>3</v>
      </c>
      <c r="F46" s="44" t="s">
        <v>1</v>
      </c>
      <c r="G46" s="44" t="s">
        <v>2</v>
      </c>
      <c r="H46" s="44"/>
      <c r="I46" s="44"/>
      <c r="J46" s="44" t="s">
        <v>59</v>
      </c>
      <c r="K46" s="44" t="s">
        <v>3</v>
      </c>
      <c r="L46" s="44" t="s">
        <v>34</v>
      </c>
      <c r="M46" s="44"/>
      <c r="N46" s="45" t="s">
        <v>200</v>
      </c>
      <c r="O46" s="46"/>
    </row>
    <row r="47" spans="1:86" s="24" customFormat="1" ht="17.100000000000001" customHeight="1" thickTop="1">
      <c r="B47" s="2"/>
      <c r="C47" s="41">
        <f t="shared" ref="C47:C53" ca="1" si="8">MATCH(E47,ИндексСправ,0)</f>
        <v>71</v>
      </c>
      <c r="D47" s="47">
        <v>1</v>
      </c>
      <c r="E47" s="48" t="str">
        <f ca="1">INDEX(FFL315_Арт,FFL315Index,1+Корректор)</f>
        <v>372.91.245</v>
      </c>
      <c r="F47" s="48" t="str">
        <f ca="1">E47</f>
        <v>372.91.245</v>
      </c>
      <c r="G47" s="419" t="str">
        <f ca="1">IF(F47&lt;&gt;"",INDEX(СправАссорт,фСправТоварFFL,4),"")</f>
        <v>Подъемный механизм FREE FLAP 3.15 - Model F; правый</v>
      </c>
      <c r="H47" s="420"/>
      <c r="I47" s="421"/>
      <c r="J47" s="47">
        <f ca="1">IF(F47&lt;&gt;"",1,"")</f>
        <v>1</v>
      </c>
      <c r="K47" s="49" t="str">
        <f ca="1">IF($F47&lt;&gt;"",Таб_Вес!$AC$35,"")</f>
        <v>шт</v>
      </c>
      <c r="L47" s="50">
        <f t="shared" ref="L47" ca="1" si="9">IF(AND(J47&lt;&gt;"",M47=""),INDEX(СправАссорт,C47,7),"")</f>
        <v>0</v>
      </c>
      <c r="M47" s="407"/>
      <c r="N47" s="51">
        <f t="shared" ref="N47" ca="1" si="10">IF(J47&lt;&gt;"",J47*LARGE(L47:M47,1),"")</f>
        <v>0</v>
      </c>
      <c r="O47" s="52"/>
      <c r="P47" s="2"/>
      <c r="Q47" s="6"/>
      <c r="R47" s="7"/>
      <c r="S47" s="7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</row>
    <row r="48" spans="1:86" s="24" customFormat="1" ht="17.100000000000001" customHeight="1">
      <c r="B48" s="2"/>
      <c r="C48" s="41">
        <f t="shared" ca="1" si="8"/>
        <v>75</v>
      </c>
      <c r="D48" s="53">
        <v>2</v>
      </c>
      <c r="E48" s="48" t="str">
        <f ca="1">INDEX(FFL315_Арт,FFL315Index,2+Корректор)</f>
        <v>372.91.246</v>
      </c>
      <c r="F48" s="49" t="str">
        <f ca="1">E48</f>
        <v>372.91.246</v>
      </c>
      <c r="G48" s="419" t="str">
        <f ca="1">IF(F48&lt;&gt;"",INDEX(СправАссорт,фСправТоварFFL,4),"")</f>
        <v>Подъемный механизм FREE FLAP 3.15 - Model F; левый</v>
      </c>
      <c r="H48" s="420"/>
      <c r="I48" s="421"/>
      <c r="J48" s="47">
        <f ca="1">IF(F48&lt;&gt;"",1,"")</f>
        <v>1</v>
      </c>
      <c r="K48" s="49" t="str">
        <f ca="1">IF($F48&lt;&gt;"",Таб_Вес!$AC$35,"")</f>
        <v>шт</v>
      </c>
      <c r="L48" s="50">
        <f t="shared" ref="L48:L53" ca="1" si="11">IF(AND(J48&lt;&gt;"",M48=""),INDEX(СправАссорт,C48,7),"")</f>
        <v>0</v>
      </c>
      <c r="M48" s="407"/>
      <c r="N48" s="51">
        <f t="shared" ref="N48:N53" ca="1" si="12">IF(J48&lt;&gt;"",J48*LARGE(L48:M48,1),"")</f>
        <v>0</v>
      </c>
      <c r="O48" s="52"/>
      <c r="P48" s="2"/>
      <c r="Q48" s="6"/>
      <c r="R48" s="7"/>
      <c r="S48" s="7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</row>
    <row r="49" spans="1:86" s="24" customFormat="1" ht="17.100000000000001" customHeight="1">
      <c r="B49" s="2"/>
      <c r="C49" s="41">
        <f t="shared" ca="1" si="8"/>
        <v>117</v>
      </c>
      <c r="D49" s="53">
        <v>3</v>
      </c>
      <c r="E49" s="48" t="str">
        <f ca="1">VLOOKUP(FFL315Цвет,Справ!$E$32:$G$33,2,0+Корректор)</f>
        <v>372.91.234</v>
      </c>
      <c r="F49" s="49" t="str">
        <f ca="1">E49</f>
        <v>372.91.234</v>
      </c>
      <c r="G49" s="419" t="str">
        <f ca="1">IF(F49&lt;&gt;"",INDEX(СправАссорт,фСправТоварFFL,4),"")</f>
        <v>Заглушка FREE flap 3.15, серые</v>
      </c>
      <c r="H49" s="420"/>
      <c r="I49" s="421"/>
      <c r="J49" s="47">
        <f ca="1">IF(F49&lt;&gt;"",1,"")</f>
        <v>1</v>
      </c>
      <c r="K49" s="49" t="str">
        <f ca="1">IF($F49&lt;&gt;"",Таб_Вес!$AC$35,"")</f>
        <v>шт</v>
      </c>
      <c r="L49" s="50">
        <f t="shared" ca="1" si="11"/>
        <v>0</v>
      </c>
      <c r="M49" s="407"/>
      <c r="N49" s="51">
        <f t="shared" ca="1" si="12"/>
        <v>0</v>
      </c>
      <c r="O49" s="52"/>
      <c r="P49" s="2"/>
      <c r="Q49" s="6"/>
      <c r="R49" s="7"/>
      <c r="S49" s="7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</row>
    <row r="50" spans="1:86" s="24" customFormat="1" ht="17.100000000000001" customHeight="1">
      <c r="B50" s="2"/>
      <c r="C50" s="41">
        <f t="shared" ca="1" si="8"/>
        <v>12</v>
      </c>
      <c r="D50" s="55">
        <v>4</v>
      </c>
      <c r="E50" s="96" t="str">
        <f ca="1">INDEX(Карта!$B$2:$S$22,ROW()-ROW($D$46),INDIRECT(ADDRESS(ROW($D$46),COLUMN()),1)*2-1+Корректор)</f>
        <v>372.91.141</v>
      </c>
      <c r="F50" s="83" t="str">
        <f ca="1">E50</f>
        <v>372.91.141</v>
      </c>
      <c r="G50" s="416" t="str">
        <f ca="1">IF(F50&lt;&gt;"",INDEX(СправАссорт,фСправТоварFFL,4),"")</f>
        <v>Крепления FREE Flap / Swing / Up</v>
      </c>
      <c r="H50" s="417"/>
      <c r="I50" s="418"/>
      <c r="J50" s="55">
        <f ca="1">IF(F50&lt;&gt;"",2,"")</f>
        <v>2</v>
      </c>
      <c r="K50" s="57" t="str">
        <f ca="1">IF($F50&lt;&gt;"",Таб_Вес!$AC$35,"")</f>
        <v>шт</v>
      </c>
      <c r="L50" s="58">
        <f t="shared" ca="1" si="11"/>
        <v>0</v>
      </c>
      <c r="M50" s="409"/>
      <c r="N50" s="59">
        <f t="shared" ca="1" si="12"/>
        <v>0</v>
      </c>
      <c r="O50" s="52"/>
      <c r="P50" s="2"/>
      <c r="Q50" s="6"/>
      <c r="R50" s="7"/>
      <c r="S50" s="7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</row>
    <row r="51" spans="1:86" s="24" customFormat="1" ht="17.100000000000001" customHeight="1">
      <c r="B51" s="2"/>
      <c r="C51" s="41">
        <f t="shared" ca="1" si="8"/>
        <v>14</v>
      </c>
      <c r="D51" s="84" t="str">
        <f>IF(F51&lt;&gt;"",LARGE(D47:D50,1)+1,"")</f>
        <v/>
      </c>
      <c r="E51" s="85" t="str">
        <f ca="1">INDEX(Карта!$B$2:$S$22,ROW()-ROW($D$46),INDIRECT(ADDRESS(ROW($D$46),COLUMN()),1)*2-1+Корректор)</f>
        <v>372.91.599</v>
      </c>
      <c r="F51" s="62" t="str">
        <f>IF(M40=Таб_Вес!$AC$25,E51,"")</f>
        <v/>
      </c>
      <c r="G51" s="415" t="str">
        <f>IF(F51&lt;&gt;"",INDEX(СправАссорт,фСправТоварFFL,4),"")</f>
        <v/>
      </c>
      <c r="H51" s="415"/>
      <c r="I51" s="415"/>
      <c r="J51" s="53" t="str">
        <f>IF(F51&lt;&gt;"",1,"")</f>
        <v/>
      </c>
      <c r="K51" s="62" t="str">
        <f>IF($F51&lt;&gt;"",Таб_Вес!$AC$35,"")</f>
        <v/>
      </c>
      <c r="L51" s="63" t="str">
        <f t="shared" si="11"/>
        <v/>
      </c>
      <c r="M51" s="410"/>
      <c r="N51" s="64" t="str">
        <f t="shared" si="12"/>
        <v/>
      </c>
      <c r="O51" s="52"/>
      <c r="P51" s="2"/>
      <c r="Q51" s="6"/>
      <c r="R51" s="7"/>
      <c r="S51" s="7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</row>
    <row r="52" spans="1:86" s="24" customFormat="1" ht="17.100000000000001" customHeight="1">
      <c r="A52" s="24">
        <f ca="1">IFERROR(MATCH(SMALL(FFL315_PUSH_Толкатель,1),FFL315_PUSH_Толкатель,0),0)</f>
        <v>64</v>
      </c>
      <c r="B52" s="2"/>
      <c r="C52" s="41">
        <f t="shared" ca="1" si="8"/>
        <v>121</v>
      </c>
      <c r="D52" s="84" t="str">
        <f t="shared" ref="D52:D53" si="13">IF(F52&lt;&gt;"",LARGE(D48:D51,1)+1,"")</f>
        <v/>
      </c>
      <c r="E52" s="48" t="str">
        <f ca="1">INDEX(IF(K42=Справ!$I$24,ТАБ_FL315_Толкатель_Врезной,ТАБ_FL315_Толкатель_Накладной),A52,Корректор)</f>
        <v>372.91.481</v>
      </c>
      <c r="F52" s="62" t="str">
        <f>IF(FLL315_PUSH=Справ!$I$22,E52,"")</f>
        <v/>
      </c>
      <c r="G52" s="415" t="str">
        <f t="shared" ref="G52:G53" si="14">IF(F52&lt;&gt;"",INDEX(СправАссорт,фСправТоварFFL,4),"")</f>
        <v/>
      </c>
      <c r="H52" s="415"/>
      <c r="I52" s="415"/>
      <c r="J52" s="53" t="str">
        <f>IF(F52&lt;&gt;"",INDEX(ТАБ_FL17_Кол_во,A52,Корректор),"")</f>
        <v/>
      </c>
      <c r="K52" s="62" t="str">
        <f>IF($F52&lt;&gt;"",Таб_Вес!$AC$35,"")</f>
        <v/>
      </c>
      <c r="L52" s="63" t="str">
        <f t="shared" si="11"/>
        <v/>
      </c>
      <c r="M52" s="410"/>
      <c r="N52" s="64" t="str">
        <f t="shared" si="12"/>
        <v/>
      </c>
      <c r="O52" s="52"/>
      <c r="P52" s="2"/>
      <c r="Q52" s="6"/>
      <c r="R52" s="7"/>
      <c r="S52" s="7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</row>
    <row r="53" spans="1:86" s="24" customFormat="1" ht="17.100000000000001" customHeight="1">
      <c r="B53" s="2"/>
      <c r="C53" s="41">
        <f t="shared" ca="1" si="8"/>
        <v>126</v>
      </c>
      <c r="D53" s="84" t="str">
        <f t="shared" si="13"/>
        <v/>
      </c>
      <c r="E53" s="85" t="str">
        <f ca="1">INDEX(Карта!$B$2:$S$22,ROW()-ROW($D$46),INDIRECT(ADDRESS(ROW($D$46),COLUMN()),1)*2-1+Корректор)</f>
        <v>372.91.479</v>
      </c>
      <c r="F53" s="62" t="str">
        <f>IF(AND(FLL315_Толкатель=Справ!$I$25,FLL315_PUSH=Справ!$I$22),E53,"")</f>
        <v/>
      </c>
      <c r="G53" s="415" t="str">
        <f t="shared" si="14"/>
        <v/>
      </c>
      <c r="H53" s="415"/>
      <c r="I53" s="415"/>
      <c r="J53" s="53" t="str">
        <f>IF(F53&lt;&gt;"",J52,"")</f>
        <v/>
      </c>
      <c r="K53" s="62" t="str">
        <f>IF($F53&lt;&gt;"",Таб_Вес!$AC$35,"")</f>
        <v/>
      </c>
      <c r="L53" s="63" t="str">
        <f t="shared" si="11"/>
        <v/>
      </c>
      <c r="M53" s="410"/>
      <c r="N53" s="64" t="str">
        <f t="shared" si="12"/>
        <v/>
      </c>
      <c r="O53" s="52"/>
      <c r="P53" s="2"/>
      <c r="Q53" s="6"/>
      <c r="R53" s="7"/>
      <c r="S53" s="7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</row>
    <row r="54" spans="1:86" s="24" customFormat="1" ht="17.100000000000001" customHeight="1">
      <c r="A54" s="1"/>
      <c r="B54" s="19"/>
      <c r="C54" s="30" t="s">
        <v>53</v>
      </c>
      <c r="D54" s="65"/>
      <c r="E54" s="65"/>
      <c r="F54" s="66"/>
      <c r="G54" s="67"/>
      <c r="H54" s="67"/>
      <c r="I54" s="67"/>
      <c r="J54" s="68"/>
      <c r="K54" s="66"/>
      <c r="L54" s="69" t="s">
        <v>29</v>
      </c>
      <c r="M54" s="70"/>
      <c r="N54" s="70">
        <f ca="1">SUM(N47:N51)</f>
        <v>0</v>
      </c>
      <c r="O54" s="71"/>
      <c r="P54" s="2"/>
      <c r="Q54" s="6"/>
      <c r="R54" s="7"/>
      <c r="S54" s="7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</row>
    <row r="55" spans="1:86" s="24" customFormat="1" ht="8.1" customHeight="1">
      <c r="A55" s="1"/>
      <c r="B55" s="2"/>
      <c r="C55" s="72"/>
      <c r="D55" s="73"/>
      <c r="E55" s="73"/>
      <c r="F55" s="74"/>
      <c r="G55" s="75"/>
      <c r="H55" s="75"/>
      <c r="I55" s="75"/>
      <c r="J55" s="76"/>
      <c r="K55" s="74"/>
      <c r="L55" s="77"/>
      <c r="M55" s="78"/>
      <c r="N55" s="78"/>
      <c r="O55" s="79"/>
      <c r="P55" s="80"/>
      <c r="Q55" s="6"/>
      <c r="R55" s="7"/>
      <c r="S55" s="7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</row>
    <row r="56" spans="1:86" s="7" customFormat="1">
      <c r="B56" s="2"/>
      <c r="C56" s="19"/>
      <c r="D56" s="107"/>
      <c r="E56" s="107"/>
      <c r="F56" s="108"/>
      <c r="G56" s="109"/>
      <c r="H56" s="109"/>
      <c r="I56" s="109"/>
      <c r="J56" s="110"/>
      <c r="K56" s="108"/>
      <c r="L56" s="111"/>
      <c r="M56" s="94"/>
      <c r="N56" s="94"/>
      <c r="O56" s="112"/>
      <c r="P56" s="80"/>
      <c r="Q56" s="6"/>
    </row>
    <row r="57" spans="1:86" s="7" customFormat="1">
      <c r="Q57" s="6"/>
    </row>
    <row r="58" spans="1:86" s="7" customFormat="1">
      <c r="Q58" s="6"/>
    </row>
    <row r="59" spans="1:86" s="7" customFormat="1">
      <c r="Q59" s="6"/>
    </row>
    <row r="60" spans="1:86" s="7" customFormat="1">
      <c r="Q60" s="6"/>
    </row>
    <row r="61" spans="1:86" s="7" customFormat="1">
      <c r="Q61" s="6"/>
    </row>
    <row r="62" spans="1:86" s="7" customFormat="1">
      <c r="Q62" s="6"/>
    </row>
    <row r="63" spans="1:86" s="7" customFormat="1">
      <c r="Q63" s="6"/>
    </row>
    <row r="64" spans="1:86" s="7" customFormat="1">
      <c r="Q64" s="6"/>
    </row>
    <row r="65" spans="1:17" s="7" customFormat="1">
      <c r="Q65" s="6"/>
    </row>
    <row r="66" spans="1:17" s="7" customFormat="1">
      <c r="Q66" s="6"/>
    </row>
    <row r="67" spans="1:17" s="7" customFormat="1">
      <c r="A67" s="113"/>
      <c r="D67" s="114"/>
      <c r="E67" s="114"/>
      <c r="F67" s="114"/>
      <c r="G67" s="114"/>
      <c r="H67" s="114"/>
      <c r="I67" s="114"/>
      <c r="J67" s="114"/>
      <c r="K67" s="6"/>
      <c r="L67" s="114"/>
      <c r="M67" s="115"/>
      <c r="N67" s="115"/>
      <c r="O67" s="116"/>
      <c r="Q67" s="6"/>
    </row>
    <row r="68" spans="1:17" s="7" customFormat="1">
      <c r="A68" s="113"/>
      <c r="D68" s="114"/>
      <c r="E68" s="114"/>
      <c r="F68" s="114"/>
      <c r="G68" s="114"/>
      <c r="H68" s="114"/>
      <c r="I68" s="114"/>
      <c r="J68" s="114"/>
      <c r="K68" s="6"/>
      <c r="L68" s="114"/>
      <c r="M68" s="115"/>
      <c r="N68" s="115"/>
      <c r="O68" s="116"/>
      <c r="Q68" s="6"/>
    </row>
    <row r="69" spans="1:17" s="7" customFormat="1">
      <c r="A69" s="113"/>
      <c r="D69" s="114"/>
      <c r="E69" s="114"/>
      <c r="F69" s="114"/>
      <c r="G69" s="114"/>
      <c r="H69" s="114"/>
      <c r="I69" s="114"/>
      <c r="J69" s="114"/>
      <c r="K69" s="6"/>
      <c r="L69" s="114"/>
      <c r="M69" s="115"/>
      <c r="N69" s="115"/>
      <c r="O69" s="116"/>
      <c r="Q69" s="6"/>
    </row>
    <row r="70" spans="1:17" s="7" customFormat="1">
      <c r="A70" s="113"/>
      <c r="D70" s="114"/>
      <c r="E70" s="114"/>
      <c r="F70" s="114"/>
      <c r="G70" s="114"/>
      <c r="H70" s="114"/>
      <c r="I70" s="114"/>
      <c r="J70" s="114"/>
      <c r="K70" s="6"/>
      <c r="L70" s="114"/>
      <c r="M70" s="115"/>
      <c r="N70" s="115"/>
      <c r="O70" s="116"/>
      <c r="Q70" s="6"/>
    </row>
    <row r="71" spans="1:17" s="7" customFormat="1">
      <c r="A71" s="113"/>
      <c r="D71" s="114"/>
      <c r="E71" s="114"/>
      <c r="F71" s="114"/>
      <c r="G71" s="114"/>
      <c r="H71" s="114"/>
      <c r="I71" s="114"/>
      <c r="J71" s="114"/>
      <c r="K71" s="6"/>
      <c r="L71" s="114"/>
      <c r="M71" s="115"/>
      <c r="N71" s="115"/>
      <c r="O71" s="116"/>
      <c r="Q71" s="6"/>
    </row>
    <row r="72" spans="1:17" s="7" customFormat="1">
      <c r="A72" s="113"/>
      <c r="D72" s="114"/>
      <c r="E72" s="114"/>
      <c r="F72" s="114"/>
      <c r="G72" s="114"/>
      <c r="H72" s="114"/>
      <c r="I72" s="114"/>
      <c r="J72" s="114"/>
      <c r="K72" s="6"/>
      <c r="L72" s="114"/>
      <c r="M72" s="115"/>
      <c r="N72" s="115"/>
      <c r="O72" s="116"/>
      <c r="Q72" s="6"/>
    </row>
    <row r="73" spans="1:17" s="7" customFormat="1">
      <c r="A73" s="113"/>
      <c r="D73" s="114"/>
      <c r="E73" s="114"/>
      <c r="F73" s="114"/>
      <c r="G73" s="114"/>
      <c r="H73" s="114"/>
      <c r="I73" s="114"/>
      <c r="J73" s="114"/>
      <c r="K73" s="6"/>
      <c r="L73" s="114"/>
      <c r="M73" s="115"/>
      <c r="N73" s="115"/>
      <c r="O73" s="116"/>
      <c r="Q73" s="6"/>
    </row>
    <row r="74" spans="1:17" s="7" customFormat="1">
      <c r="A74" s="113"/>
      <c r="D74" s="114"/>
      <c r="E74" s="114"/>
      <c r="F74" s="114"/>
      <c r="G74" s="114"/>
      <c r="H74" s="114"/>
      <c r="I74" s="114"/>
      <c r="J74" s="114"/>
      <c r="K74" s="6"/>
      <c r="L74" s="114"/>
      <c r="M74" s="115"/>
      <c r="N74" s="115"/>
      <c r="O74" s="116"/>
      <c r="Q74" s="6"/>
    </row>
    <row r="75" spans="1:17" s="7" customFormat="1">
      <c r="A75" s="113"/>
      <c r="D75" s="114"/>
      <c r="E75" s="114"/>
      <c r="F75" s="114"/>
      <c r="G75" s="114"/>
      <c r="H75" s="114"/>
      <c r="I75" s="114"/>
      <c r="J75" s="114"/>
      <c r="K75" s="6"/>
      <c r="L75" s="114"/>
      <c r="M75" s="115"/>
      <c r="N75" s="115"/>
      <c r="O75" s="116"/>
      <c r="Q75" s="6"/>
    </row>
    <row r="76" spans="1:17" s="7" customFormat="1">
      <c r="A76" s="113"/>
      <c r="D76" s="114"/>
      <c r="E76" s="114"/>
      <c r="F76" s="114"/>
      <c r="G76" s="114"/>
      <c r="H76" s="114"/>
      <c r="I76" s="114"/>
      <c r="J76" s="114"/>
      <c r="K76" s="6"/>
      <c r="L76" s="114"/>
      <c r="M76" s="115"/>
      <c r="N76" s="115"/>
      <c r="O76" s="116"/>
      <c r="Q76" s="6"/>
    </row>
    <row r="77" spans="1:17" s="7" customFormat="1">
      <c r="A77" s="113"/>
      <c r="D77" s="114"/>
      <c r="E77" s="114"/>
      <c r="F77" s="114"/>
      <c r="G77" s="114"/>
      <c r="H77" s="114"/>
      <c r="I77" s="114"/>
      <c r="J77" s="114"/>
      <c r="K77" s="6"/>
      <c r="L77" s="114"/>
      <c r="M77" s="115"/>
      <c r="N77" s="115"/>
      <c r="O77" s="116"/>
      <c r="Q77" s="6"/>
    </row>
    <row r="78" spans="1:17" s="7" customFormat="1">
      <c r="A78" s="113"/>
      <c r="D78" s="114"/>
      <c r="E78" s="114"/>
      <c r="F78" s="114"/>
      <c r="G78" s="114"/>
      <c r="H78" s="114"/>
      <c r="I78" s="114"/>
      <c r="J78" s="114"/>
      <c r="K78" s="6"/>
      <c r="L78" s="114"/>
      <c r="M78" s="115"/>
      <c r="N78" s="115"/>
      <c r="O78" s="116"/>
      <c r="Q78" s="6"/>
    </row>
    <row r="79" spans="1:17" s="7" customFormat="1">
      <c r="A79" s="113"/>
      <c r="D79" s="114"/>
      <c r="E79" s="114"/>
      <c r="F79" s="114"/>
      <c r="G79" s="114"/>
      <c r="H79" s="114"/>
      <c r="I79" s="114"/>
      <c r="J79" s="114"/>
      <c r="K79" s="6"/>
      <c r="L79" s="114"/>
      <c r="M79" s="115"/>
      <c r="N79" s="115"/>
      <c r="O79" s="116"/>
      <c r="Q79" s="6"/>
    </row>
    <row r="80" spans="1:17" s="7" customFormat="1">
      <c r="A80" s="113"/>
      <c r="D80" s="114"/>
      <c r="E80" s="114"/>
      <c r="F80" s="114"/>
      <c r="G80" s="114"/>
      <c r="H80" s="114"/>
      <c r="I80" s="114"/>
      <c r="J80" s="114"/>
      <c r="K80" s="6"/>
      <c r="L80" s="114"/>
      <c r="M80" s="115"/>
      <c r="N80" s="115"/>
      <c r="O80" s="116"/>
      <c r="Q80" s="6"/>
    </row>
    <row r="81" spans="1:17" s="7" customFormat="1">
      <c r="A81" s="113"/>
      <c r="D81" s="114"/>
      <c r="E81" s="114"/>
      <c r="F81" s="114"/>
      <c r="G81" s="114"/>
      <c r="H81" s="114"/>
      <c r="I81" s="114"/>
      <c r="J81" s="114"/>
      <c r="K81" s="6"/>
      <c r="L81" s="114"/>
      <c r="M81" s="115"/>
      <c r="N81" s="115"/>
      <c r="O81" s="116"/>
      <c r="Q81" s="6"/>
    </row>
    <row r="82" spans="1:17" s="7" customFormat="1">
      <c r="A82" s="113"/>
      <c r="D82" s="114"/>
      <c r="E82" s="114"/>
      <c r="F82" s="114"/>
      <c r="G82" s="114"/>
      <c r="H82" s="114"/>
      <c r="I82" s="114"/>
      <c r="J82" s="114"/>
      <c r="K82" s="6"/>
      <c r="L82" s="114"/>
      <c r="M82" s="115"/>
      <c r="N82" s="115"/>
      <c r="O82" s="116"/>
      <c r="Q82" s="6"/>
    </row>
    <row r="83" spans="1:17" s="7" customFormat="1">
      <c r="A83" s="113"/>
      <c r="D83" s="114"/>
      <c r="E83" s="114"/>
      <c r="F83" s="114"/>
      <c r="G83" s="114"/>
      <c r="H83" s="114"/>
      <c r="I83" s="114"/>
      <c r="J83" s="114"/>
      <c r="K83" s="6"/>
      <c r="L83" s="114"/>
      <c r="M83" s="115"/>
      <c r="N83" s="115"/>
      <c r="O83" s="116"/>
      <c r="Q83" s="6"/>
    </row>
    <row r="84" spans="1:17" s="7" customFormat="1">
      <c r="A84" s="113"/>
      <c r="D84" s="114"/>
      <c r="E84" s="114"/>
      <c r="F84" s="114"/>
      <c r="G84" s="114"/>
      <c r="H84" s="114"/>
      <c r="I84" s="114"/>
      <c r="J84" s="114"/>
      <c r="K84" s="6"/>
      <c r="L84" s="114"/>
      <c r="M84" s="115"/>
      <c r="N84" s="115"/>
      <c r="O84" s="116"/>
      <c r="Q84" s="6"/>
    </row>
    <row r="85" spans="1:17" s="7" customFormat="1">
      <c r="A85" s="113"/>
      <c r="D85" s="114"/>
      <c r="E85" s="114"/>
      <c r="F85" s="114"/>
      <c r="G85" s="114"/>
      <c r="H85" s="114"/>
      <c r="I85" s="114"/>
      <c r="J85" s="114"/>
      <c r="K85" s="6"/>
      <c r="L85" s="114"/>
      <c r="M85" s="115"/>
      <c r="N85" s="115"/>
      <c r="O85" s="116"/>
      <c r="Q85" s="6"/>
    </row>
    <row r="86" spans="1:17" s="7" customFormat="1">
      <c r="A86" s="113"/>
      <c r="D86" s="114"/>
      <c r="E86" s="114"/>
      <c r="F86" s="114"/>
      <c r="G86" s="114"/>
      <c r="H86" s="114"/>
      <c r="I86" s="114"/>
      <c r="J86" s="114"/>
      <c r="K86" s="6"/>
      <c r="L86" s="114"/>
      <c r="M86" s="115"/>
      <c r="N86" s="115"/>
      <c r="O86" s="116"/>
      <c r="Q86" s="6"/>
    </row>
    <row r="87" spans="1:17" s="7" customFormat="1">
      <c r="A87" s="113"/>
      <c r="D87" s="114"/>
      <c r="E87" s="114"/>
      <c r="F87" s="114"/>
      <c r="G87" s="114"/>
      <c r="H87" s="114"/>
      <c r="I87" s="114"/>
      <c r="J87" s="114"/>
      <c r="K87" s="6"/>
      <c r="L87" s="114"/>
      <c r="M87" s="115"/>
      <c r="N87" s="115"/>
      <c r="O87" s="116"/>
      <c r="Q87" s="6"/>
    </row>
    <row r="88" spans="1:17" s="7" customFormat="1">
      <c r="A88" s="113"/>
      <c r="D88" s="114"/>
      <c r="E88" s="114"/>
      <c r="F88" s="114"/>
      <c r="G88" s="114"/>
      <c r="H88" s="114"/>
      <c r="I88" s="114"/>
      <c r="J88" s="114"/>
      <c r="K88" s="6"/>
      <c r="L88" s="114"/>
      <c r="M88" s="115"/>
      <c r="N88" s="115"/>
      <c r="O88" s="116"/>
      <c r="Q88" s="6"/>
    </row>
    <row r="89" spans="1:17" s="7" customFormat="1">
      <c r="A89" s="113"/>
      <c r="D89" s="114"/>
      <c r="E89" s="114"/>
      <c r="F89" s="114"/>
      <c r="G89" s="114"/>
      <c r="H89" s="114"/>
      <c r="I89" s="114"/>
      <c r="J89" s="114"/>
      <c r="K89" s="6"/>
      <c r="L89" s="114"/>
      <c r="M89" s="115"/>
      <c r="N89" s="115"/>
      <c r="O89" s="116"/>
      <c r="Q89" s="6"/>
    </row>
    <row r="90" spans="1:17" s="7" customFormat="1">
      <c r="A90" s="113"/>
      <c r="D90" s="114"/>
      <c r="E90" s="114"/>
      <c r="F90" s="114"/>
      <c r="G90" s="114"/>
      <c r="H90" s="114"/>
      <c r="I90" s="114"/>
      <c r="J90" s="114"/>
      <c r="K90" s="6"/>
      <c r="L90" s="114"/>
      <c r="M90" s="115"/>
      <c r="N90" s="115"/>
      <c r="O90" s="116"/>
      <c r="Q90" s="6"/>
    </row>
    <row r="91" spans="1:17" s="7" customFormat="1">
      <c r="A91" s="113"/>
      <c r="D91" s="114"/>
      <c r="E91" s="114"/>
      <c r="F91" s="114"/>
      <c r="G91" s="114"/>
      <c r="H91" s="114"/>
      <c r="I91" s="114"/>
      <c r="J91" s="114"/>
      <c r="K91" s="6"/>
      <c r="L91" s="114"/>
      <c r="M91" s="115"/>
      <c r="N91" s="115"/>
      <c r="O91" s="116"/>
      <c r="Q91" s="6"/>
    </row>
    <row r="92" spans="1:17" s="7" customFormat="1">
      <c r="A92" s="113"/>
      <c r="D92" s="114"/>
      <c r="E92" s="114"/>
      <c r="F92" s="114"/>
      <c r="G92" s="114"/>
      <c r="H92" s="114"/>
      <c r="I92" s="114"/>
      <c r="J92" s="114"/>
      <c r="K92" s="6"/>
      <c r="L92" s="114"/>
      <c r="M92" s="115"/>
      <c r="N92" s="115"/>
      <c r="O92" s="116"/>
      <c r="Q92" s="6"/>
    </row>
    <row r="93" spans="1:17" s="7" customFormat="1">
      <c r="A93" s="113"/>
      <c r="D93" s="114"/>
      <c r="E93" s="114"/>
      <c r="F93" s="114"/>
      <c r="G93" s="114"/>
      <c r="H93" s="114"/>
      <c r="I93" s="114"/>
      <c r="J93" s="114"/>
      <c r="K93" s="6"/>
      <c r="L93" s="114"/>
      <c r="M93" s="115"/>
      <c r="N93" s="115"/>
      <c r="O93" s="116"/>
      <c r="Q93" s="6"/>
    </row>
    <row r="94" spans="1:17" s="7" customFormat="1">
      <c r="A94" s="113"/>
      <c r="D94" s="114"/>
      <c r="E94" s="114"/>
      <c r="F94" s="114"/>
      <c r="G94" s="114"/>
      <c r="H94" s="114"/>
      <c r="I94" s="114"/>
      <c r="J94" s="114"/>
      <c r="K94" s="6"/>
      <c r="L94" s="114"/>
      <c r="M94" s="115"/>
      <c r="N94" s="115"/>
      <c r="O94" s="116"/>
      <c r="Q94" s="6"/>
    </row>
    <row r="95" spans="1:17" s="7" customFormat="1">
      <c r="A95" s="113"/>
      <c r="D95" s="114"/>
      <c r="E95" s="114"/>
      <c r="F95" s="114"/>
      <c r="G95" s="114"/>
      <c r="H95" s="114"/>
      <c r="I95" s="114"/>
      <c r="J95" s="114"/>
      <c r="K95" s="6"/>
      <c r="L95" s="114"/>
      <c r="M95" s="115"/>
      <c r="N95" s="115"/>
      <c r="O95" s="116"/>
      <c r="Q95" s="6"/>
    </row>
    <row r="96" spans="1:17" s="7" customFormat="1">
      <c r="A96" s="113"/>
      <c r="D96" s="114"/>
      <c r="E96" s="114"/>
      <c r="F96" s="114"/>
      <c r="G96" s="114"/>
      <c r="H96" s="114"/>
      <c r="I96" s="114"/>
      <c r="J96" s="114"/>
      <c r="K96" s="6"/>
      <c r="L96" s="114"/>
      <c r="M96" s="115"/>
      <c r="N96" s="115"/>
      <c r="O96" s="116"/>
      <c r="Q96" s="6"/>
    </row>
    <row r="97" spans="1:17" s="7" customFormat="1">
      <c r="A97" s="113"/>
      <c r="D97" s="114"/>
      <c r="E97" s="114"/>
      <c r="F97" s="114"/>
      <c r="G97" s="114"/>
      <c r="H97" s="114"/>
      <c r="I97" s="114"/>
      <c r="J97" s="114"/>
      <c r="K97" s="6"/>
      <c r="L97" s="114"/>
      <c r="M97" s="115"/>
      <c r="N97" s="115"/>
      <c r="O97" s="116"/>
      <c r="Q97" s="6"/>
    </row>
    <row r="98" spans="1:17" s="7" customFormat="1">
      <c r="A98" s="113"/>
      <c r="D98" s="114"/>
      <c r="E98" s="114"/>
      <c r="F98" s="114"/>
      <c r="G98" s="114"/>
      <c r="H98" s="114"/>
      <c r="I98" s="114"/>
      <c r="J98" s="114"/>
      <c r="K98" s="6"/>
      <c r="L98" s="114"/>
      <c r="M98" s="115"/>
      <c r="N98" s="115"/>
      <c r="O98" s="116"/>
      <c r="Q98" s="6"/>
    </row>
    <row r="99" spans="1:17" s="7" customFormat="1">
      <c r="A99" s="113"/>
      <c r="D99" s="114"/>
      <c r="E99" s="114"/>
      <c r="F99" s="114"/>
      <c r="G99" s="114"/>
      <c r="H99" s="114"/>
      <c r="I99" s="114"/>
      <c r="J99" s="114"/>
      <c r="K99" s="6"/>
      <c r="L99" s="114"/>
      <c r="M99" s="115"/>
      <c r="N99" s="115"/>
      <c r="O99" s="116"/>
      <c r="Q99" s="6"/>
    </row>
    <row r="100" spans="1:17" s="7" customFormat="1">
      <c r="A100" s="113"/>
      <c r="D100" s="114"/>
      <c r="E100" s="114"/>
      <c r="F100" s="114"/>
      <c r="G100" s="114"/>
      <c r="H100" s="114"/>
      <c r="I100" s="114"/>
      <c r="J100" s="114"/>
      <c r="K100" s="6"/>
      <c r="L100" s="114"/>
      <c r="M100" s="115"/>
      <c r="N100" s="115"/>
      <c r="O100" s="116"/>
      <c r="Q100" s="6"/>
    </row>
    <row r="101" spans="1:17" s="7" customFormat="1">
      <c r="A101" s="113"/>
      <c r="D101" s="114"/>
      <c r="E101" s="114"/>
      <c r="F101" s="114"/>
      <c r="G101" s="114"/>
      <c r="H101" s="114"/>
      <c r="I101" s="114"/>
      <c r="J101" s="114"/>
      <c r="K101" s="6"/>
      <c r="L101" s="114"/>
      <c r="M101" s="115"/>
      <c r="N101" s="115"/>
      <c r="O101" s="116"/>
      <c r="Q101" s="6"/>
    </row>
    <row r="102" spans="1:17" s="7" customFormat="1">
      <c r="A102" s="113"/>
      <c r="D102" s="114"/>
      <c r="E102" s="114"/>
      <c r="F102" s="114"/>
      <c r="G102" s="114"/>
      <c r="H102" s="114"/>
      <c r="I102" s="114"/>
      <c r="J102" s="114"/>
      <c r="K102" s="6"/>
      <c r="L102" s="114"/>
      <c r="M102" s="115"/>
      <c r="N102" s="115"/>
      <c r="O102" s="116"/>
      <c r="Q102" s="6"/>
    </row>
    <row r="103" spans="1:17" s="7" customFormat="1">
      <c r="A103" s="113"/>
      <c r="D103" s="114"/>
      <c r="E103" s="114"/>
      <c r="F103" s="114"/>
      <c r="G103" s="114"/>
      <c r="H103" s="114"/>
      <c r="I103" s="114"/>
      <c r="J103" s="114"/>
      <c r="K103" s="6"/>
      <c r="L103" s="114"/>
      <c r="M103" s="115"/>
      <c r="N103" s="115"/>
      <c r="O103" s="116"/>
      <c r="Q103" s="6"/>
    </row>
    <row r="104" spans="1:17" s="7" customFormat="1">
      <c r="A104" s="113"/>
      <c r="D104" s="114"/>
      <c r="E104" s="114"/>
      <c r="F104" s="114"/>
      <c r="G104" s="114"/>
      <c r="H104" s="114"/>
      <c r="I104" s="114"/>
      <c r="J104" s="114"/>
      <c r="K104" s="6"/>
      <c r="L104" s="114"/>
      <c r="M104" s="115"/>
      <c r="N104" s="115"/>
      <c r="O104" s="116"/>
      <c r="Q104" s="6"/>
    </row>
    <row r="105" spans="1:17" s="7" customFormat="1">
      <c r="A105" s="113"/>
      <c r="D105" s="114"/>
      <c r="E105" s="114"/>
      <c r="F105" s="114"/>
      <c r="G105" s="114"/>
      <c r="H105" s="114"/>
      <c r="I105" s="114"/>
      <c r="J105" s="114"/>
      <c r="K105" s="6"/>
      <c r="L105" s="114"/>
      <c r="M105" s="115"/>
      <c r="N105" s="115"/>
      <c r="O105" s="116"/>
      <c r="Q105" s="6"/>
    </row>
    <row r="106" spans="1:17" s="7" customFormat="1">
      <c r="A106" s="113"/>
      <c r="D106" s="114"/>
      <c r="E106" s="114"/>
      <c r="F106" s="114"/>
      <c r="G106" s="114"/>
      <c r="H106" s="114"/>
      <c r="I106" s="114"/>
      <c r="J106" s="114"/>
      <c r="K106" s="6"/>
      <c r="L106" s="114"/>
      <c r="M106" s="115"/>
      <c r="N106" s="115"/>
      <c r="O106" s="116"/>
      <c r="Q106" s="6"/>
    </row>
    <row r="107" spans="1:17" s="7" customFormat="1">
      <c r="A107" s="113"/>
      <c r="D107" s="114"/>
      <c r="E107" s="114"/>
      <c r="F107" s="114"/>
      <c r="G107" s="114"/>
      <c r="H107" s="114"/>
      <c r="I107" s="114"/>
      <c r="J107" s="114"/>
      <c r="K107" s="6"/>
      <c r="L107" s="114"/>
      <c r="M107" s="115"/>
      <c r="N107" s="115"/>
      <c r="O107" s="116"/>
      <c r="Q107" s="6"/>
    </row>
    <row r="108" spans="1:17" s="7" customFormat="1">
      <c r="A108" s="113"/>
      <c r="D108" s="114"/>
      <c r="E108" s="114"/>
      <c r="F108" s="114"/>
      <c r="G108" s="114"/>
      <c r="H108" s="114"/>
      <c r="I108" s="114"/>
      <c r="J108" s="114"/>
      <c r="K108" s="6"/>
      <c r="L108" s="114"/>
      <c r="M108" s="115"/>
      <c r="N108" s="115"/>
      <c r="O108" s="116"/>
      <c r="Q108" s="6"/>
    </row>
    <row r="109" spans="1:17" s="7" customFormat="1">
      <c r="A109" s="113"/>
      <c r="D109" s="114"/>
      <c r="E109" s="114"/>
      <c r="F109" s="114"/>
      <c r="G109" s="114"/>
      <c r="H109" s="114"/>
      <c r="I109" s="114"/>
      <c r="J109" s="114"/>
      <c r="K109" s="6"/>
      <c r="L109" s="114"/>
      <c r="M109" s="115"/>
      <c r="N109" s="115"/>
      <c r="O109" s="116"/>
      <c r="Q109" s="6"/>
    </row>
    <row r="110" spans="1:17" s="7" customFormat="1">
      <c r="A110" s="113"/>
      <c r="D110" s="114"/>
      <c r="E110" s="114"/>
      <c r="F110" s="114"/>
      <c r="G110" s="114"/>
      <c r="H110" s="114"/>
      <c r="I110" s="114"/>
      <c r="J110" s="114"/>
      <c r="K110" s="6"/>
      <c r="L110" s="114"/>
      <c r="M110" s="115"/>
      <c r="N110" s="115"/>
      <c r="O110" s="116"/>
      <c r="Q110" s="6"/>
    </row>
    <row r="111" spans="1:17" s="7" customFormat="1">
      <c r="A111" s="113"/>
      <c r="D111" s="114"/>
      <c r="E111" s="114"/>
      <c r="F111" s="114"/>
      <c r="G111" s="114"/>
      <c r="H111" s="114"/>
      <c r="I111" s="114"/>
      <c r="J111" s="114"/>
      <c r="K111" s="6"/>
      <c r="L111" s="114"/>
      <c r="M111" s="115"/>
      <c r="N111" s="115"/>
      <c r="O111" s="116"/>
      <c r="Q111" s="6"/>
    </row>
    <row r="112" spans="1:17" s="7" customFormat="1">
      <c r="A112" s="113"/>
      <c r="D112" s="114"/>
      <c r="E112" s="114"/>
      <c r="F112" s="114"/>
      <c r="G112" s="114"/>
      <c r="H112" s="114"/>
      <c r="I112" s="114"/>
      <c r="J112" s="114"/>
      <c r="K112" s="6"/>
      <c r="L112" s="114"/>
      <c r="M112" s="115"/>
      <c r="N112" s="115"/>
      <c r="O112" s="116"/>
      <c r="Q112" s="6"/>
    </row>
    <row r="113" spans="1:17" s="7" customFormat="1">
      <c r="A113" s="113"/>
      <c r="D113" s="114"/>
      <c r="E113" s="114"/>
      <c r="F113" s="114"/>
      <c r="G113" s="114"/>
      <c r="H113" s="114"/>
      <c r="I113" s="114"/>
      <c r="J113" s="114"/>
      <c r="K113" s="6"/>
      <c r="L113" s="114"/>
      <c r="M113" s="115"/>
      <c r="N113" s="115"/>
      <c r="O113" s="116"/>
      <c r="Q113" s="6"/>
    </row>
    <row r="114" spans="1:17" s="7" customFormat="1">
      <c r="A114" s="113"/>
      <c r="D114" s="114"/>
      <c r="E114" s="114"/>
      <c r="F114" s="114"/>
      <c r="G114" s="114"/>
      <c r="H114" s="114"/>
      <c r="I114" s="114"/>
      <c r="J114" s="114"/>
      <c r="K114" s="6"/>
      <c r="L114" s="114"/>
      <c r="M114" s="115"/>
      <c r="N114" s="115"/>
      <c r="O114" s="116"/>
      <c r="Q114" s="6"/>
    </row>
    <row r="115" spans="1:17" s="7" customFormat="1">
      <c r="A115" s="113"/>
      <c r="D115" s="114"/>
      <c r="E115" s="114"/>
      <c r="F115" s="114"/>
      <c r="G115" s="114"/>
      <c r="H115" s="114"/>
      <c r="I115" s="114"/>
      <c r="J115" s="114"/>
      <c r="K115" s="6"/>
      <c r="L115" s="114"/>
      <c r="M115" s="115"/>
      <c r="N115" s="115"/>
      <c r="O115" s="116"/>
      <c r="Q115" s="6"/>
    </row>
  </sheetData>
  <sheetProtection password="CEE3" sheet="1" objects="1" scenarios="1"/>
  <mergeCells count="41">
    <mergeCell ref="C3:F3"/>
    <mergeCell ref="K3:L3"/>
    <mergeCell ref="C5:F5"/>
    <mergeCell ref="K5:L5"/>
    <mergeCell ref="G25:I25"/>
    <mergeCell ref="C9:F9"/>
    <mergeCell ref="G9:L9"/>
    <mergeCell ref="C11:F11"/>
    <mergeCell ref="G11:L11"/>
    <mergeCell ref="C13:F13"/>
    <mergeCell ref="G13:L13"/>
    <mergeCell ref="G20:I20"/>
    <mergeCell ref="G21:I21"/>
    <mergeCell ref="G22:I22"/>
    <mergeCell ref="G23:I23"/>
    <mergeCell ref="G24:I24"/>
    <mergeCell ref="C32:F32"/>
    <mergeCell ref="K32:L32"/>
    <mergeCell ref="C34:F34"/>
    <mergeCell ref="K34:L34"/>
    <mergeCell ref="C38:F38"/>
    <mergeCell ref="G38:L38"/>
    <mergeCell ref="H36:J36"/>
    <mergeCell ref="K36:M36"/>
    <mergeCell ref="C40:F40"/>
    <mergeCell ref="G40:L40"/>
    <mergeCell ref="G47:I47"/>
    <mergeCell ref="G48:I48"/>
    <mergeCell ref="G49:I49"/>
    <mergeCell ref="H42:J42"/>
    <mergeCell ref="K42:M42"/>
    <mergeCell ref="G52:I52"/>
    <mergeCell ref="G53:I53"/>
    <mergeCell ref="G26:I26"/>
    <mergeCell ref="G27:I27"/>
    <mergeCell ref="K7:M7"/>
    <mergeCell ref="H7:J7"/>
    <mergeCell ref="H15:J15"/>
    <mergeCell ref="K15:M15"/>
    <mergeCell ref="G51:I51"/>
    <mergeCell ref="G50:I50"/>
  </mergeCells>
  <conditionalFormatting sqref="G47:I48 G20:I22">
    <cfRule type="expression" dxfId="32" priority="5">
      <formula>$F20="000.000.000"</formula>
    </cfRule>
  </conditionalFormatting>
  <dataValidations count="10">
    <dataValidation type="list" allowBlank="1" showInputMessage="1" showErrorMessage="1" errorTitle="Внимание!" error="Значение должно быть кратно 10 мм" sqref="M13 M11 M40">
      <formula1>FlagYN</formula1>
    </dataValidation>
    <dataValidation allowBlank="1" showInputMessage="1" showErrorMessage="1" errorTitle="Внимание!" error="Значение должно быть кратно 10 мм" sqref="I33 I4 G34 G5 K37 K8"/>
    <dataValidation type="list" allowBlank="1" showInputMessage="1" showErrorMessage="1" errorTitle="Внимание!" error="Значение должно быть кратно 10 мм" sqref="I34">
      <formula1>ВысотаФ_FF315</formula1>
    </dataValidation>
    <dataValidation type="list" allowBlank="1" showInputMessage="1" showErrorMessage="1" errorTitle="Внимание!" error="Значение должно быть кратно 10 мм" sqref="I5">
      <formula1>ВысотаФ_FFlap17</formula1>
    </dataValidation>
    <dataValidation type="list" allowBlank="1" showInputMessage="1" showErrorMessage="1" sqref="G3 G32">
      <formula1>МатериалФ</formula1>
    </dataValidation>
    <dataValidation type="list" allowBlank="1" showInputMessage="1" showErrorMessage="1" sqref="M3 M32">
      <formula1>ТолщинаФ</formula1>
    </dataValidation>
    <dataValidation type="list" allowBlank="1" showInputMessage="1" showErrorMessage="1" errorTitle="Внимание!" error="Значение должно быть кратно 10 мм" sqref="I16 I12 I10 I43 I39 I6 I35">
      <formula1>ВысотаФ</formula1>
    </dataValidation>
    <dataValidation type="list" allowBlank="1" showInputMessage="1" showErrorMessage="1" errorTitle="Внимание!" error="Значение должно быть кратно 50" sqref="I3 I32">
      <formula1>ШиринаФ</formula1>
    </dataValidation>
    <dataValidation type="list" allowBlank="1" showInputMessage="1" showErrorMessage="1" sqref="K15:M15 K42:M42">
      <formula1>СПР_Толкатель</formula1>
    </dataValidation>
    <dataValidation type="decimal" allowBlank="1" showInputMessage="1" showErrorMessage="1" sqref="M47:M53 M20:M27">
      <formula1>0</formula1>
      <formula2>1000000</formula2>
    </dataValidation>
  </dataValidations>
  <pageMargins left="0.7" right="0.7" top="0.75" bottom="0.75" header="0.3" footer="0.3"/>
  <pageSetup paperSize="9" orientation="portrait" r:id="rId1"/>
  <drawing r:id="rId2"/>
  <extLst xmlns:xr="http://schemas.microsoft.com/office/spreadsheetml/2014/revision"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33194B52-C571-492E-81FA-96F3EEEC9837}">
            <xm:f>$K$7=Справ!$I$22</xm:f>
            <x14:dxf>
              <fill>
                <patternFill>
                  <bgColor rgb="FFFFFF00"/>
                </patternFill>
              </fill>
            </x14:dxf>
          </x14:cfRule>
          <xm:sqref>K7:M7</xm:sqref>
        </x14:conditionalFormatting>
        <x14:conditionalFormatting xmlns:xm="http://schemas.microsoft.com/office/excel/2006/main">
          <x14:cfRule type="expression" priority="2" id="{4613FC11-B28E-4CD2-A3B2-9E6761F79204}">
            <xm:f>$K$36=Справ!$I$22</xm:f>
            <x14:dxf>
              <fill>
                <patternFill>
                  <bgColor rgb="FFFFFF00"/>
                </patternFill>
              </fill>
            </x14:dxf>
          </x14:cfRule>
          <xm:sqref>K36:M36</xm:sqref>
        </x14:conditionalFormatting>
        <x14:conditionalFormatting xmlns:xm="http://schemas.microsoft.com/office/excel/2006/main">
          <x14:cfRule type="expression" priority="181" id="{D9CCEC9A-02C9-4A17-BB93-D99FF7955E17}">
            <xm:f>$K$7=Справ!$I$21</xm:f>
            <x14:dxf>
              <font>
                <color theme="3" tint="0.39994506668294322"/>
              </font>
              <fill>
                <patternFill>
                  <bgColor theme="4" tint="0.59996337778862885"/>
                </patternFill>
              </fill>
            </x14:dxf>
          </x14:cfRule>
          <xm:sqref>K15:M15</xm:sqref>
        </x14:conditionalFormatting>
        <x14:conditionalFormatting xmlns:xm="http://schemas.microsoft.com/office/excel/2006/main">
          <x14:cfRule type="expression" priority="185" id="{256D0D66-4A7A-483C-82AC-29C0849D4E0F}">
            <xm:f>$K$36=Справ!$I$21</xm:f>
            <x14:dxf>
              <font>
                <color theme="3" tint="0.39994506668294322"/>
              </font>
              <fill>
                <patternFill>
                  <bgColor theme="4" tint="0.59996337778862885"/>
                </patternFill>
              </fill>
            </x14:dxf>
          </x14:cfRule>
          <xm:sqref>K42:M42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Внимание!" error="Значение должно быть кратно 10 мм" xr:uid="{00000000-0002-0000-0500-00000A000000}">
          <x14:formula1>
            <xm:f>Таб_Вес!$AC$32:$AC$33</xm:f>
          </x14:formula1>
          <xm:sqref>M9 M38</xm:sqref>
        </x14:dataValidation>
        <x14:dataValidation type="list" allowBlank="1" showInputMessage="1" showErrorMessage="1" errorTitle="Внимание!" error="Значение должно быть кратно 10 мм" xr:uid="{00000000-0002-0000-0500-00000B000000}">
          <x14:formula1>
            <xm:f>Справ!$I$21:$I$22</xm:f>
          </x14:formula1>
          <xm:sqref>K7 K36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9"/>
  <dimension ref="A1:CH99"/>
  <sheetViews>
    <sheetView topLeftCell="B1" zoomScale="90" zoomScaleNormal="90" workbookViewId="0">
      <selection activeCell="M7" sqref="M7"/>
    </sheetView>
  </sheetViews>
  <sheetFormatPr defaultColWidth="9.140625" defaultRowHeight="15"/>
  <cols>
    <col min="1" max="1" width="3.42578125" style="1" hidden="1" customWidth="1"/>
    <col min="2" max="2" width="1.7109375" style="8" customWidth="1"/>
    <col min="3" max="3" width="31.85546875" style="9" customWidth="1"/>
    <col min="4" max="4" width="3.42578125" style="117" customWidth="1"/>
    <col min="5" max="5" width="12.28515625" style="117" hidden="1" customWidth="1"/>
    <col min="6" max="6" width="11.5703125" style="117" customWidth="1"/>
    <col min="7" max="7" width="36.7109375" style="117" customWidth="1"/>
    <col min="8" max="8" width="19.28515625" style="117" customWidth="1"/>
    <col min="9" max="9" width="18.85546875" style="117" customWidth="1"/>
    <col min="10" max="10" width="7" style="117" customWidth="1"/>
    <col min="11" max="11" width="6" style="118" customWidth="1"/>
    <col min="12" max="12" width="10.28515625" style="117" customWidth="1"/>
    <col min="13" max="14" width="12" style="119" customWidth="1"/>
    <col min="15" max="15" width="2" style="119" customWidth="1"/>
    <col min="16" max="16" width="1.7109375" style="2" customWidth="1"/>
    <col min="17" max="17" width="2.85546875" style="6" customWidth="1"/>
    <col min="18" max="18" width="48.7109375" style="7" customWidth="1"/>
    <col min="19" max="19" width="9.140625" style="7"/>
    <col min="20" max="86" width="9.140625" style="8"/>
    <col min="87" max="262" width="9.140625" style="9"/>
    <col min="263" max="263" width="4" style="9" customWidth="1"/>
    <col min="264" max="264" width="11.5703125" style="9" customWidth="1"/>
    <col min="265" max="265" width="71" style="9" customWidth="1"/>
    <col min="266" max="266" width="10" style="9" customWidth="1"/>
    <col min="267" max="267" width="7.140625" style="9" customWidth="1"/>
    <col min="268" max="268" width="9.7109375" style="9" customWidth="1"/>
    <col min="269" max="518" width="9.140625" style="9"/>
    <col min="519" max="519" width="4" style="9" customWidth="1"/>
    <col min="520" max="520" width="11.5703125" style="9" customWidth="1"/>
    <col min="521" max="521" width="71" style="9" customWidth="1"/>
    <col min="522" max="522" width="10" style="9" customWidth="1"/>
    <col min="523" max="523" width="7.140625" style="9" customWidth="1"/>
    <col min="524" max="524" width="9.7109375" style="9" customWidth="1"/>
    <col min="525" max="774" width="9.140625" style="9"/>
    <col min="775" max="775" width="4" style="9" customWidth="1"/>
    <col min="776" max="776" width="11.5703125" style="9" customWidth="1"/>
    <col min="777" max="777" width="71" style="9" customWidth="1"/>
    <col min="778" max="778" width="10" style="9" customWidth="1"/>
    <col min="779" max="779" width="7.140625" style="9" customWidth="1"/>
    <col min="780" max="780" width="9.7109375" style="9" customWidth="1"/>
    <col min="781" max="1030" width="9.140625" style="9"/>
    <col min="1031" max="1031" width="4" style="9" customWidth="1"/>
    <col min="1032" max="1032" width="11.5703125" style="9" customWidth="1"/>
    <col min="1033" max="1033" width="71" style="9" customWidth="1"/>
    <col min="1034" max="1034" width="10" style="9" customWidth="1"/>
    <col min="1035" max="1035" width="7.140625" style="9" customWidth="1"/>
    <col min="1036" max="1036" width="9.7109375" style="9" customWidth="1"/>
    <col min="1037" max="1286" width="9.140625" style="9"/>
    <col min="1287" max="1287" width="4" style="9" customWidth="1"/>
    <col min="1288" max="1288" width="11.5703125" style="9" customWidth="1"/>
    <col min="1289" max="1289" width="71" style="9" customWidth="1"/>
    <col min="1290" max="1290" width="10" style="9" customWidth="1"/>
    <col min="1291" max="1291" width="7.140625" style="9" customWidth="1"/>
    <col min="1292" max="1292" width="9.7109375" style="9" customWidth="1"/>
    <col min="1293" max="1542" width="9.140625" style="9"/>
    <col min="1543" max="1543" width="4" style="9" customWidth="1"/>
    <col min="1544" max="1544" width="11.5703125" style="9" customWidth="1"/>
    <col min="1545" max="1545" width="71" style="9" customWidth="1"/>
    <col min="1546" max="1546" width="10" style="9" customWidth="1"/>
    <col min="1547" max="1547" width="7.140625" style="9" customWidth="1"/>
    <col min="1548" max="1548" width="9.7109375" style="9" customWidth="1"/>
    <col min="1549" max="1798" width="9.140625" style="9"/>
    <col min="1799" max="1799" width="4" style="9" customWidth="1"/>
    <col min="1800" max="1800" width="11.5703125" style="9" customWidth="1"/>
    <col min="1801" max="1801" width="71" style="9" customWidth="1"/>
    <col min="1802" max="1802" width="10" style="9" customWidth="1"/>
    <col min="1803" max="1803" width="7.140625" style="9" customWidth="1"/>
    <col min="1804" max="1804" width="9.7109375" style="9" customWidth="1"/>
    <col min="1805" max="2054" width="9.140625" style="9"/>
    <col min="2055" max="2055" width="4" style="9" customWidth="1"/>
    <col min="2056" max="2056" width="11.5703125" style="9" customWidth="1"/>
    <col min="2057" max="2057" width="71" style="9" customWidth="1"/>
    <col min="2058" max="2058" width="10" style="9" customWidth="1"/>
    <col min="2059" max="2059" width="7.140625" style="9" customWidth="1"/>
    <col min="2060" max="2060" width="9.7109375" style="9" customWidth="1"/>
    <col min="2061" max="2310" width="9.140625" style="9"/>
    <col min="2311" max="2311" width="4" style="9" customWidth="1"/>
    <col min="2312" max="2312" width="11.5703125" style="9" customWidth="1"/>
    <col min="2313" max="2313" width="71" style="9" customWidth="1"/>
    <col min="2314" max="2314" width="10" style="9" customWidth="1"/>
    <col min="2315" max="2315" width="7.140625" style="9" customWidth="1"/>
    <col min="2316" max="2316" width="9.7109375" style="9" customWidth="1"/>
    <col min="2317" max="2566" width="9.140625" style="9"/>
    <col min="2567" max="2567" width="4" style="9" customWidth="1"/>
    <col min="2568" max="2568" width="11.5703125" style="9" customWidth="1"/>
    <col min="2569" max="2569" width="71" style="9" customWidth="1"/>
    <col min="2570" max="2570" width="10" style="9" customWidth="1"/>
    <col min="2571" max="2571" width="7.140625" style="9" customWidth="1"/>
    <col min="2572" max="2572" width="9.7109375" style="9" customWidth="1"/>
    <col min="2573" max="2822" width="9.140625" style="9"/>
    <col min="2823" max="2823" width="4" style="9" customWidth="1"/>
    <col min="2824" max="2824" width="11.5703125" style="9" customWidth="1"/>
    <col min="2825" max="2825" width="71" style="9" customWidth="1"/>
    <col min="2826" max="2826" width="10" style="9" customWidth="1"/>
    <col min="2827" max="2827" width="7.140625" style="9" customWidth="1"/>
    <col min="2828" max="2828" width="9.7109375" style="9" customWidth="1"/>
    <col min="2829" max="3078" width="9.140625" style="9"/>
    <col min="3079" max="3079" width="4" style="9" customWidth="1"/>
    <col min="3080" max="3080" width="11.5703125" style="9" customWidth="1"/>
    <col min="3081" max="3081" width="71" style="9" customWidth="1"/>
    <col min="3082" max="3082" width="10" style="9" customWidth="1"/>
    <col min="3083" max="3083" width="7.140625" style="9" customWidth="1"/>
    <col min="3084" max="3084" width="9.7109375" style="9" customWidth="1"/>
    <col min="3085" max="3334" width="9.140625" style="9"/>
    <col min="3335" max="3335" width="4" style="9" customWidth="1"/>
    <col min="3336" max="3336" width="11.5703125" style="9" customWidth="1"/>
    <col min="3337" max="3337" width="71" style="9" customWidth="1"/>
    <col min="3338" max="3338" width="10" style="9" customWidth="1"/>
    <col min="3339" max="3339" width="7.140625" style="9" customWidth="1"/>
    <col min="3340" max="3340" width="9.7109375" style="9" customWidth="1"/>
    <col min="3341" max="3590" width="9.140625" style="9"/>
    <col min="3591" max="3591" width="4" style="9" customWidth="1"/>
    <col min="3592" max="3592" width="11.5703125" style="9" customWidth="1"/>
    <col min="3593" max="3593" width="71" style="9" customWidth="1"/>
    <col min="3594" max="3594" width="10" style="9" customWidth="1"/>
    <col min="3595" max="3595" width="7.140625" style="9" customWidth="1"/>
    <col min="3596" max="3596" width="9.7109375" style="9" customWidth="1"/>
    <col min="3597" max="3846" width="9.140625" style="9"/>
    <col min="3847" max="3847" width="4" style="9" customWidth="1"/>
    <col min="3848" max="3848" width="11.5703125" style="9" customWidth="1"/>
    <col min="3849" max="3849" width="71" style="9" customWidth="1"/>
    <col min="3850" max="3850" width="10" style="9" customWidth="1"/>
    <col min="3851" max="3851" width="7.140625" style="9" customWidth="1"/>
    <col min="3852" max="3852" width="9.7109375" style="9" customWidth="1"/>
    <col min="3853" max="4102" width="9.140625" style="9"/>
    <col min="4103" max="4103" width="4" style="9" customWidth="1"/>
    <col min="4104" max="4104" width="11.5703125" style="9" customWidth="1"/>
    <col min="4105" max="4105" width="71" style="9" customWidth="1"/>
    <col min="4106" max="4106" width="10" style="9" customWidth="1"/>
    <col min="4107" max="4107" width="7.140625" style="9" customWidth="1"/>
    <col min="4108" max="4108" width="9.7109375" style="9" customWidth="1"/>
    <col min="4109" max="4358" width="9.140625" style="9"/>
    <col min="4359" max="4359" width="4" style="9" customWidth="1"/>
    <col min="4360" max="4360" width="11.5703125" style="9" customWidth="1"/>
    <col min="4361" max="4361" width="71" style="9" customWidth="1"/>
    <col min="4362" max="4362" width="10" style="9" customWidth="1"/>
    <col min="4363" max="4363" width="7.140625" style="9" customWidth="1"/>
    <col min="4364" max="4364" width="9.7109375" style="9" customWidth="1"/>
    <col min="4365" max="4614" width="9.140625" style="9"/>
    <col min="4615" max="4615" width="4" style="9" customWidth="1"/>
    <col min="4616" max="4616" width="11.5703125" style="9" customWidth="1"/>
    <col min="4617" max="4617" width="71" style="9" customWidth="1"/>
    <col min="4618" max="4618" width="10" style="9" customWidth="1"/>
    <col min="4619" max="4619" width="7.140625" style="9" customWidth="1"/>
    <col min="4620" max="4620" width="9.7109375" style="9" customWidth="1"/>
    <col min="4621" max="4870" width="9.140625" style="9"/>
    <col min="4871" max="4871" width="4" style="9" customWidth="1"/>
    <col min="4872" max="4872" width="11.5703125" style="9" customWidth="1"/>
    <col min="4873" max="4873" width="71" style="9" customWidth="1"/>
    <col min="4874" max="4874" width="10" style="9" customWidth="1"/>
    <col min="4875" max="4875" width="7.140625" style="9" customWidth="1"/>
    <col min="4876" max="4876" width="9.7109375" style="9" customWidth="1"/>
    <col min="4877" max="5126" width="9.140625" style="9"/>
    <col min="5127" max="5127" width="4" style="9" customWidth="1"/>
    <col min="5128" max="5128" width="11.5703125" style="9" customWidth="1"/>
    <col min="5129" max="5129" width="71" style="9" customWidth="1"/>
    <col min="5130" max="5130" width="10" style="9" customWidth="1"/>
    <col min="5131" max="5131" width="7.140625" style="9" customWidth="1"/>
    <col min="5132" max="5132" width="9.7109375" style="9" customWidth="1"/>
    <col min="5133" max="5382" width="9.140625" style="9"/>
    <col min="5383" max="5383" width="4" style="9" customWidth="1"/>
    <col min="5384" max="5384" width="11.5703125" style="9" customWidth="1"/>
    <col min="5385" max="5385" width="71" style="9" customWidth="1"/>
    <col min="5386" max="5386" width="10" style="9" customWidth="1"/>
    <col min="5387" max="5387" width="7.140625" style="9" customWidth="1"/>
    <col min="5388" max="5388" width="9.7109375" style="9" customWidth="1"/>
    <col min="5389" max="5638" width="9.140625" style="9"/>
    <col min="5639" max="5639" width="4" style="9" customWidth="1"/>
    <col min="5640" max="5640" width="11.5703125" style="9" customWidth="1"/>
    <col min="5641" max="5641" width="71" style="9" customWidth="1"/>
    <col min="5642" max="5642" width="10" style="9" customWidth="1"/>
    <col min="5643" max="5643" width="7.140625" style="9" customWidth="1"/>
    <col min="5644" max="5644" width="9.7109375" style="9" customWidth="1"/>
    <col min="5645" max="5894" width="9.140625" style="9"/>
    <col min="5895" max="5895" width="4" style="9" customWidth="1"/>
    <col min="5896" max="5896" width="11.5703125" style="9" customWidth="1"/>
    <col min="5897" max="5897" width="71" style="9" customWidth="1"/>
    <col min="5898" max="5898" width="10" style="9" customWidth="1"/>
    <col min="5899" max="5899" width="7.140625" style="9" customWidth="1"/>
    <col min="5900" max="5900" width="9.7109375" style="9" customWidth="1"/>
    <col min="5901" max="6150" width="9.140625" style="9"/>
    <col min="6151" max="6151" width="4" style="9" customWidth="1"/>
    <col min="6152" max="6152" width="11.5703125" style="9" customWidth="1"/>
    <col min="6153" max="6153" width="71" style="9" customWidth="1"/>
    <col min="6154" max="6154" width="10" style="9" customWidth="1"/>
    <col min="6155" max="6155" width="7.140625" style="9" customWidth="1"/>
    <col min="6156" max="6156" width="9.7109375" style="9" customWidth="1"/>
    <col min="6157" max="6406" width="9.140625" style="9"/>
    <col min="6407" max="6407" width="4" style="9" customWidth="1"/>
    <col min="6408" max="6408" width="11.5703125" style="9" customWidth="1"/>
    <col min="6409" max="6409" width="71" style="9" customWidth="1"/>
    <col min="6410" max="6410" width="10" style="9" customWidth="1"/>
    <col min="6411" max="6411" width="7.140625" style="9" customWidth="1"/>
    <col min="6412" max="6412" width="9.7109375" style="9" customWidth="1"/>
    <col min="6413" max="6662" width="9.140625" style="9"/>
    <col min="6663" max="6663" width="4" style="9" customWidth="1"/>
    <col min="6664" max="6664" width="11.5703125" style="9" customWidth="1"/>
    <col min="6665" max="6665" width="71" style="9" customWidth="1"/>
    <col min="6666" max="6666" width="10" style="9" customWidth="1"/>
    <col min="6667" max="6667" width="7.140625" style="9" customWidth="1"/>
    <col min="6668" max="6668" width="9.7109375" style="9" customWidth="1"/>
    <col min="6669" max="6918" width="9.140625" style="9"/>
    <col min="6919" max="6919" width="4" style="9" customWidth="1"/>
    <col min="6920" max="6920" width="11.5703125" style="9" customWidth="1"/>
    <col min="6921" max="6921" width="71" style="9" customWidth="1"/>
    <col min="6922" max="6922" width="10" style="9" customWidth="1"/>
    <col min="6923" max="6923" width="7.140625" style="9" customWidth="1"/>
    <col min="6924" max="6924" width="9.7109375" style="9" customWidth="1"/>
    <col min="6925" max="7174" width="9.140625" style="9"/>
    <col min="7175" max="7175" width="4" style="9" customWidth="1"/>
    <col min="7176" max="7176" width="11.5703125" style="9" customWidth="1"/>
    <col min="7177" max="7177" width="71" style="9" customWidth="1"/>
    <col min="7178" max="7178" width="10" style="9" customWidth="1"/>
    <col min="7179" max="7179" width="7.140625" style="9" customWidth="1"/>
    <col min="7180" max="7180" width="9.7109375" style="9" customWidth="1"/>
    <col min="7181" max="7430" width="9.140625" style="9"/>
    <col min="7431" max="7431" width="4" style="9" customWidth="1"/>
    <col min="7432" max="7432" width="11.5703125" style="9" customWidth="1"/>
    <col min="7433" max="7433" width="71" style="9" customWidth="1"/>
    <col min="7434" max="7434" width="10" style="9" customWidth="1"/>
    <col min="7435" max="7435" width="7.140625" style="9" customWidth="1"/>
    <col min="7436" max="7436" width="9.7109375" style="9" customWidth="1"/>
    <col min="7437" max="7686" width="9.140625" style="9"/>
    <col min="7687" max="7687" width="4" style="9" customWidth="1"/>
    <col min="7688" max="7688" width="11.5703125" style="9" customWidth="1"/>
    <col min="7689" max="7689" width="71" style="9" customWidth="1"/>
    <col min="7690" max="7690" width="10" style="9" customWidth="1"/>
    <col min="7691" max="7691" width="7.140625" style="9" customWidth="1"/>
    <col min="7692" max="7692" width="9.7109375" style="9" customWidth="1"/>
    <col min="7693" max="7942" width="9.140625" style="9"/>
    <col min="7943" max="7943" width="4" style="9" customWidth="1"/>
    <col min="7944" max="7944" width="11.5703125" style="9" customWidth="1"/>
    <col min="7945" max="7945" width="71" style="9" customWidth="1"/>
    <col min="7946" max="7946" width="10" style="9" customWidth="1"/>
    <col min="7947" max="7947" width="7.140625" style="9" customWidth="1"/>
    <col min="7948" max="7948" width="9.7109375" style="9" customWidth="1"/>
    <col min="7949" max="8198" width="9.140625" style="9"/>
    <col min="8199" max="8199" width="4" style="9" customWidth="1"/>
    <col min="8200" max="8200" width="11.5703125" style="9" customWidth="1"/>
    <col min="8201" max="8201" width="71" style="9" customWidth="1"/>
    <col min="8202" max="8202" width="10" style="9" customWidth="1"/>
    <col min="8203" max="8203" width="7.140625" style="9" customWidth="1"/>
    <col min="8204" max="8204" width="9.7109375" style="9" customWidth="1"/>
    <col min="8205" max="8454" width="9.140625" style="9"/>
    <col min="8455" max="8455" width="4" style="9" customWidth="1"/>
    <col min="8456" max="8456" width="11.5703125" style="9" customWidth="1"/>
    <col min="8457" max="8457" width="71" style="9" customWidth="1"/>
    <col min="8458" max="8458" width="10" style="9" customWidth="1"/>
    <col min="8459" max="8459" width="7.140625" style="9" customWidth="1"/>
    <col min="8460" max="8460" width="9.7109375" style="9" customWidth="1"/>
    <col min="8461" max="8710" width="9.140625" style="9"/>
    <col min="8711" max="8711" width="4" style="9" customWidth="1"/>
    <col min="8712" max="8712" width="11.5703125" style="9" customWidth="1"/>
    <col min="8713" max="8713" width="71" style="9" customWidth="1"/>
    <col min="8714" max="8714" width="10" style="9" customWidth="1"/>
    <col min="8715" max="8715" width="7.140625" style="9" customWidth="1"/>
    <col min="8716" max="8716" width="9.7109375" style="9" customWidth="1"/>
    <col min="8717" max="8966" width="9.140625" style="9"/>
    <col min="8967" max="8967" width="4" style="9" customWidth="1"/>
    <col min="8968" max="8968" width="11.5703125" style="9" customWidth="1"/>
    <col min="8969" max="8969" width="71" style="9" customWidth="1"/>
    <col min="8970" max="8970" width="10" style="9" customWidth="1"/>
    <col min="8971" max="8971" width="7.140625" style="9" customWidth="1"/>
    <col min="8972" max="8972" width="9.7109375" style="9" customWidth="1"/>
    <col min="8973" max="9222" width="9.140625" style="9"/>
    <col min="9223" max="9223" width="4" style="9" customWidth="1"/>
    <col min="9224" max="9224" width="11.5703125" style="9" customWidth="1"/>
    <col min="9225" max="9225" width="71" style="9" customWidth="1"/>
    <col min="9226" max="9226" width="10" style="9" customWidth="1"/>
    <col min="9227" max="9227" width="7.140625" style="9" customWidth="1"/>
    <col min="9228" max="9228" width="9.7109375" style="9" customWidth="1"/>
    <col min="9229" max="9478" width="9.140625" style="9"/>
    <col min="9479" max="9479" width="4" style="9" customWidth="1"/>
    <col min="9480" max="9480" width="11.5703125" style="9" customWidth="1"/>
    <col min="9481" max="9481" width="71" style="9" customWidth="1"/>
    <col min="9482" max="9482" width="10" style="9" customWidth="1"/>
    <col min="9483" max="9483" width="7.140625" style="9" customWidth="1"/>
    <col min="9484" max="9484" width="9.7109375" style="9" customWidth="1"/>
    <col min="9485" max="9734" width="9.140625" style="9"/>
    <col min="9735" max="9735" width="4" style="9" customWidth="1"/>
    <col min="9736" max="9736" width="11.5703125" style="9" customWidth="1"/>
    <col min="9737" max="9737" width="71" style="9" customWidth="1"/>
    <col min="9738" max="9738" width="10" style="9" customWidth="1"/>
    <col min="9739" max="9739" width="7.140625" style="9" customWidth="1"/>
    <col min="9740" max="9740" width="9.7109375" style="9" customWidth="1"/>
    <col min="9741" max="9990" width="9.140625" style="9"/>
    <col min="9991" max="9991" width="4" style="9" customWidth="1"/>
    <col min="9992" max="9992" width="11.5703125" style="9" customWidth="1"/>
    <col min="9993" max="9993" width="71" style="9" customWidth="1"/>
    <col min="9994" max="9994" width="10" style="9" customWidth="1"/>
    <col min="9995" max="9995" width="7.140625" style="9" customWidth="1"/>
    <col min="9996" max="9996" width="9.7109375" style="9" customWidth="1"/>
    <col min="9997" max="10246" width="9.140625" style="9"/>
    <col min="10247" max="10247" width="4" style="9" customWidth="1"/>
    <col min="10248" max="10248" width="11.5703125" style="9" customWidth="1"/>
    <col min="10249" max="10249" width="71" style="9" customWidth="1"/>
    <col min="10250" max="10250" width="10" style="9" customWidth="1"/>
    <col min="10251" max="10251" width="7.140625" style="9" customWidth="1"/>
    <col min="10252" max="10252" width="9.7109375" style="9" customWidth="1"/>
    <col min="10253" max="10502" width="9.140625" style="9"/>
    <col min="10503" max="10503" width="4" style="9" customWidth="1"/>
    <col min="10504" max="10504" width="11.5703125" style="9" customWidth="1"/>
    <col min="10505" max="10505" width="71" style="9" customWidth="1"/>
    <col min="10506" max="10506" width="10" style="9" customWidth="1"/>
    <col min="10507" max="10507" width="7.140625" style="9" customWidth="1"/>
    <col min="10508" max="10508" width="9.7109375" style="9" customWidth="1"/>
    <col min="10509" max="10758" width="9.140625" style="9"/>
    <col min="10759" max="10759" width="4" style="9" customWidth="1"/>
    <col min="10760" max="10760" width="11.5703125" style="9" customWidth="1"/>
    <col min="10761" max="10761" width="71" style="9" customWidth="1"/>
    <col min="10762" max="10762" width="10" style="9" customWidth="1"/>
    <col min="10763" max="10763" width="7.140625" style="9" customWidth="1"/>
    <col min="10764" max="10764" width="9.7109375" style="9" customWidth="1"/>
    <col min="10765" max="11014" width="9.140625" style="9"/>
    <col min="11015" max="11015" width="4" style="9" customWidth="1"/>
    <col min="11016" max="11016" width="11.5703125" style="9" customWidth="1"/>
    <col min="11017" max="11017" width="71" style="9" customWidth="1"/>
    <col min="11018" max="11018" width="10" style="9" customWidth="1"/>
    <col min="11019" max="11019" width="7.140625" style="9" customWidth="1"/>
    <col min="11020" max="11020" width="9.7109375" style="9" customWidth="1"/>
    <col min="11021" max="11270" width="9.140625" style="9"/>
    <col min="11271" max="11271" width="4" style="9" customWidth="1"/>
    <col min="11272" max="11272" width="11.5703125" style="9" customWidth="1"/>
    <col min="11273" max="11273" width="71" style="9" customWidth="1"/>
    <col min="11274" max="11274" width="10" style="9" customWidth="1"/>
    <col min="11275" max="11275" width="7.140625" style="9" customWidth="1"/>
    <col min="11276" max="11276" width="9.7109375" style="9" customWidth="1"/>
    <col min="11277" max="11526" width="9.140625" style="9"/>
    <col min="11527" max="11527" width="4" style="9" customWidth="1"/>
    <col min="11528" max="11528" width="11.5703125" style="9" customWidth="1"/>
    <col min="11529" max="11529" width="71" style="9" customWidth="1"/>
    <col min="11530" max="11530" width="10" style="9" customWidth="1"/>
    <col min="11531" max="11531" width="7.140625" style="9" customWidth="1"/>
    <col min="11532" max="11532" width="9.7109375" style="9" customWidth="1"/>
    <col min="11533" max="11782" width="9.140625" style="9"/>
    <col min="11783" max="11783" width="4" style="9" customWidth="1"/>
    <col min="11784" max="11784" width="11.5703125" style="9" customWidth="1"/>
    <col min="11785" max="11785" width="71" style="9" customWidth="1"/>
    <col min="11786" max="11786" width="10" style="9" customWidth="1"/>
    <col min="11787" max="11787" width="7.140625" style="9" customWidth="1"/>
    <col min="11788" max="11788" width="9.7109375" style="9" customWidth="1"/>
    <col min="11789" max="12038" width="9.140625" style="9"/>
    <col min="12039" max="12039" width="4" style="9" customWidth="1"/>
    <col min="12040" max="12040" width="11.5703125" style="9" customWidth="1"/>
    <col min="12041" max="12041" width="71" style="9" customWidth="1"/>
    <col min="12042" max="12042" width="10" style="9" customWidth="1"/>
    <col min="12043" max="12043" width="7.140625" style="9" customWidth="1"/>
    <col min="12044" max="12044" width="9.7109375" style="9" customWidth="1"/>
    <col min="12045" max="12294" width="9.140625" style="9"/>
    <col min="12295" max="12295" width="4" style="9" customWidth="1"/>
    <col min="12296" max="12296" width="11.5703125" style="9" customWidth="1"/>
    <col min="12297" max="12297" width="71" style="9" customWidth="1"/>
    <col min="12298" max="12298" width="10" style="9" customWidth="1"/>
    <col min="12299" max="12299" width="7.140625" style="9" customWidth="1"/>
    <col min="12300" max="12300" width="9.7109375" style="9" customWidth="1"/>
    <col min="12301" max="12550" width="9.140625" style="9"/>
    <col min="12551" max="12551" width="4" style="9" customWidth="1"/>
    <col min="12552" max="12552" width="11.5703125" style="9" customWidth="1"/>
    <col min="12553" max="12553" width="71" style="9" customWidth="1"/>
    <col min="12554" max="12554" width="10" style="9" customWidth="1"/>
    <col min="12555" max="12555" width="7.140625" style="9" customWidth="1"/>
    <col min="12556" max="12556" width="9.7109375" style="9" customWidth="1"/>
    <col min="12557" max="12806" width="9.140625" style="9"/>
    <col min="12807" max="12807" width="4" style="9" customWidth="1"/>
    <col min="12808" max="12808" width="11.5703125" style="9" customWidth="1"/>
    <col min="12809" max="12809" width="71" style="9" customWidth="1"/>
    <col min="12810" max="12810" width="10" style="9" customWidth="1"/>
    <col min="12811" max="12811" width="7.140625" style="9" customWidth="1"/>
    <col min="12812" max="12812" width="9.7109375" style="9" customWidth="1"/>
    <col min="12813" max="13062" width="9.140625" style="9"/>
    <col min="13063" max="13063" width="4" style="9" customWidth="1"/>
    <col min="13064" max="13064" width="11.5703125" style="9" customWidth="1"/>
    <col min="13065" max="13065" width="71" style="9" customWidth="1"/>
    <col min="13066" max="13066" width="10" style="9" customWidth="1"/>
    <col min="13067" max="13067" width="7.140625" style="9" customWidth="1"/>
    <col min="13068" max="13068" width="9.7109375" style="9" customWidth="1"/>
    <col min="13069" max="13318" width="9.140625" style="9"/>
    <col min="13319" max="13319" width="4" style="9" customWidth="1"/>
    <col min="13320" max="13320" width="11.5703125" style="9" customWidth="1"/>
    <col min="13321" max="13321" width="71" style="9" customWidth="1"/>
    <col min="13322" max="13322" width="10" style="9" customWidth="1"/>
    <col min="13323" max="13323" width="7.140625" style="9" customWidth="1"/>
    <col min="13324" max="13324" width="9.7109375" style="9" customWidth="1"/>
    <col min="13325" max="13574" width="9.140625" style="9"/>
    <col min="13575" max="13575" width="4" style="9" customWidth="1"/>
    <col min="13576" max="13576" width="11.5703125" style="9" customWidth="1"/>
    <col min="13577" max="13577" width="71" style="9" customWidth="1"/>
    <col min="13578" max="13578" width="10" style="9" customWidth="1"/>
    <col min="13579" max="13579" width="7.140625" style="9" customWidth="1"/>
    <col min="13580" max="13580" width="9.7109375" style="9" customWidth="1"/>
    <col min="13581" max="13830" width="9.140625" style="9"/>
    <col min="13831" max="13831" width="4" style="9" customWidth="1"/>
    <col min="13832" max="13832" width="11.5703125" style="9" customWidth="1"/>
    <col min="13833" max="13833" width="71" style="9" customWidth="1"/>
    <col min="13834" max="13834" width="10" style="9" customWidth="1"/>
    <col min="13835" max="13835" width="7.140625" style="9" customWidth="1"/>
    <col min="13836" max="13836" width="9.7109375" style="9" customWidth="1"/>
    <col min="13837" max="14086" width="9.140625" style="9"/>
    <col min="14087" max="14087" width="4" style="9" customWidth="1"/>
    <col min="14088" max="14088" width="11.5703125" style="9" customWidth="1"/>
    <col min="14089" max="14089" width="71" style="9" customWidth="1"/>
    <col min="14090" max="14090" width="10" style="9" customWidth="1"/>
    <col min="14091" max="14091" width="7.140625" style="9" customWidth="1"/>
    <col min="14092" max="14092" width="9.7109375" style="9" customWidth="1"/>
    <col min="14093" max="14342" width="9.140625" style="9"/>
    <col min="14343" max="14343" width="4" style="9" customWidth="1"/>
    <col min="14344" max="14344" width="11.5703125" style="9" customWidth="1"/>
    <col min="14345" max="14345" width="71" style="9" customWidth="1"/>
    <col min="14346" max="14346" width="10" style="9" customWidth="1"/>
    <col min="14347" max="14347" width="7.140625" style="9" customWidth="1"/>
    <col min="14348" max="14348" width="9.7109375" style="9" customWidth="1"/>
    <col min="14349" max="14598" width="9.140625" style="9"/>
    <col min="14599" max="14599" width="4" style="9" customWidth="1"/>
    <col min="14600" max="14600" width="11.5703125" style="9" customWidth="1"/>
    <col min="14601" max="14601" width="71" style="9" customWidth="1"/>
    <col min="14602" max="14602" width="10" style="9" customWidth="1"/>
    <col min="14603" max="14603" width="7.140625" style="9" customWidth="1"/>
    <col min="14604" max="14604" width="9.7109375" style="9" customWidth="1"/>
    <col min="14605" max="14854" width="9.140625" style="9"/>
    <col min="14855" max="14855" width="4" style="9" customWidth="1"/>
    <col min="14856" max="14856" width="11.5703125" style="9" customWidth="1"/>
    <col min="14857" max="14857" width="71" style="9" customWidth="1"/>
    <col min="14858" max="14858" width="10" style="9" customWidth="1"/>
    <col min="14859" max="14859" width="7.140625" style="9" customWidth="1"/>
    <col min="14860" max="14860" width="9.7109375" style="9" customWidth="1"/>
    <col min="14861" max="15110" width="9.140625" style="9"/>
    <col min="15111" max="15111" width="4" style="9" customWidth="1"/>
    <col min="15112" max="15112" width="11.5703125" style="9" customWidth="1"/>
    <col min="15113" max="15113" width="71" style="9" customWidth="1"/>
    <col min="15114" max="15114" width="10" style="9" customWidth="1"/>
    <col min="15115" max="15115" width="7.140625" style="9" customWidth="1"/>
    <col min="15116" max="15116" width="9.7109375" style="9" customWidth="1"/>
    <col min="15117" max="15366" width="9.140625" style="9"/>
    <col min="15367" max="15367" width="4" style="9" customWidth="1"/>
    <col min="15368" max="15368" width="11.5703125" style="9" customWidth="1"/>
    <col min="15369" max="15369" width="71" style="9" customWidth="1"/>
    <col min="15370" max="15370" width="10" style="9" customWidth="1"/>
    <col min="15371" max="15371" width="7.140625" style="9" customWidth="1"/>
    <col min="15372" max="15372" width="9.7109375" style="9" customWidth="1"/>
    <col min="15373" max="15622" width="9.140625" style="9"/>
    <col min="15623" max="15623" width="4" style="9" customWidth="1"/>
    <col min="15624" max="15624" width="11.5703125" style="9" customWidth="1"/>
    <col min="15625" max="15625" width="71" style="9" customWidth="1"/>
    <col min="15626" max="15626" width="10" style="9" customWidth="1"/>
    <col min="15627" max="15627" width="7.140625" style="9" customWidth="1"/>
    <col min="15628" max="15628" width="9.7109375" style="9" customWidth="1"/>
    <col min="15629" max="15878" width="9.140625" style="9"/>
    <col min="15879" max="15879" width="4" style="9" customWidth="1"/>
    <col min="15880" max="15880" width="11.5703125" style="9" customWidth="1"/>
    <col min="15881" max="15881" width="71" style="9" customWidth="1"/>
    <col min="15882" max="15882" width="10" style="9" customWidth="1"/>
    <col min="15883" max="15883" width="7.140625" style="9" customWidth="1"/>
    <col min="15884" max="15884" width="9.7109375" style="9" customWidth="1"/>
    <col min="15885" max="16134" width="9.140625" style="9"/>
    <col min="16135" max="16135" width="4" style="9" customWidth="1"/>
    <col min="16136" max="16136" width="11.5703125" style="9" customWidth="1"/>
    <col min="16137" max="16137" width="71" style="9" customWidth="1"/>
    <col min="16138" max="16138" width="10" style="9" customWidth="1"/>
    <col min="16139" max="16139" width="7.140625" style="9" customWidth="1"/>
    <col min="16140" max="16140" width="9.7109375" style="9" customWidth="1"/>
    <col min="16141" max="16384" width="9.140625" style="9"/>
  </cols>
  <sheetData>
    <row r="1" spans="1:86" ht="8.1" customHeight="1">
      <c r="B1" s="2"/>
      <c r="C1" s="2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O1" s="5"/>
    </row>
    <row r="2" spans="1:86" s="24" customFormat="1" ht="6" customHeight="1">
      <c r="A2" s="1"/>
      <c r="B2" s="2"/>
      <c r="C2" s="10"/>
      <c r="D2" s="10"/>
      <c r="E2" s="10"/>
      <c r="F2" s="10"/>
      <c r="G2" s="11"/>
      <c r="H2" s="11"/>
      <c r="I2" s="11"/>
      <c r="J2" s="12"/>
      <c r="K2" s="13"/>
      <c r="L2" s="12"/>
      <c r="M2" s="14"/>
      <c r="N2" s="14"/>
      <c r="O2" s="14"/>
      <c r="P2" s="2"/>
      <c r="Q2" s="6"/>
      <c r="R2" s="7"/>
      <c r="S2" s="7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</row>
    <row r="3" spans="1:86" s="24" customFormat="1" ht="18" customHeight="1">
      <c r="A3" s="1">
        <v>6</v>
      </c>
      <c r="B3" s="2"/>
      <c r="C3" s="423" t="s">
        <v>80</v>
      </c>
      <c r="D3" s="423"/>
      <c r="E3" s="423"/>
      <c r="F3" s="423"/>
      <c r="G3" s="120" t="s">
        <v>78</v>
      </c>
      <c r="H3" s="10" t="s">
        <v>69</v>
      </c>
      <c r="I3" s="121">
        <v>600</v>
      </c>
      <c r="J3" s="12"/>
      <c r="K3" s="423" t="s">
        <v>71</v>
      </c>
      <c r="L3" s="423"/>
      <c r="M3" s="121">
        <v>16</v>
      </c>
      <c r="N3" s="14"/>
      <c r="O3" s="14"/>
      <c r="P3" s="2"/>
      <c r="Q3" s="6"/>
      <c r="R3" s="7"/>
      <c r="S3" s="7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</row>
    <row r="4" spans="1:86" ht="3" customHeight="1">
      <c r="B4" s="2"/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4"/>
      <c r="O4" s="14"/>
    </row>
    <row r="5" spans="1:86" ht="21" customHeight="1">
      <c r="B5" s="2"/>
      <c r="C5" s="424" t="str">
        <f ca="1">'Free-Серия'!$C$5</f>
        <v/>
      </c>
      <c r="D5" s="424"/>
      <c r="E5" s="424"/>
      <c r="F5" s="424"/>
      <c r="G5" s="17"/>
      <c r="H5" s="10" t="s">
        <v>70</v>
      </c>
      <c r="I5" s="121">
        <v>600</v>
      </c>
      <c r="J5" s="12"/>
      <c r="K5" s="423" t="s">
        <v>74</v>
      </c>
      <c r="L5" s="423"/>
      <c r="M5" s="18">
        <f>ВесФасадаРасчетFFH15</f>
        <v>4.4775999999999998</v>
      </c>
      <c r="N5" s="14"/>
      <c r="O5" s="14"/>
      <c r="R5" s="1"/>
      <c r="S5" s="115"/>
    </row>
    <row r="6" spans="1:86" s="24" customFormat="1" ht="6" customHeight="1">
      <c r="A6" s="1"/>
      <c r="B6" s="19"/>
      <c r="C6" s="20"/>
      <c r="D6" s="20"/>
      <c r="E6" s="20"/>
      <c r="F6" s="20"/>
      <c r="G6" s="21"/>
      <c r="H6" s="16"/>
      <c r="I6" s="22"/>
      <c r="J6" s="12"/>
      <c r="K6" s="16"/>
      <c r="L6" s="16"/>
      <c r="M6" s="23"/>
      <c r="N6" s="14"/>
      <c r="O6" s="14"/>
      <c r="P6" s="2"/>
      <c r="Q6" s="6"/>
      <c r="R6" s="7"/>
      <c r="S6" s="7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</row>
    <row r="7" spans="1:86" s="24" customFormat="1" ht="18" customHeight="1">
      <c r="A7" s="1"/>
      <c r="B7" s="2"/>
      <c r="C7" s="424" t="str">
        <f ca="1">'Free-Серия'!$C$5</f>
        <v/>
      </c>
      <c r="D7" s="424"/>
      <c r="E7" s="424"/>
      <c r="F7" s="424"/>
      <c r="G7" s="422" t="s">
        <v>241</v>
      </c>
      <c r="H7" s="422"/>
      <c r="I7" s="422"/>
      <c r="J7" s="422"/>
      <c r="K7" s="422"/>
      <c r="L7" s="422"/>
      <c r="M7" s="122" t="s">
        <v>197</v>
      </c>
      <c r="N7" s="14"/>
      <c r="O7" s="14"/>
      <c r="P7" s="2"/>
      <c r="Q7" s="6"/>
      <c r="R7" s="7"/>
      <c r="S7" s="7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</row>
    <row r="8" spans="1:86" s="24" customFormat="1" ht="3" customHeight="1">
      <c r="A8" s="1"/>
      <c r="B8" s="19"/>
      <c r="C8" s="15"/>
      <c r="D8" s="15"/>
      <c r="E8" s="15"/>
      <c r="F8" s="15"/>
      <c r="G8" s="21"/>
      <c r="H8" s="16"/>
      <c r="I8" s="22"/>
      <c r="J8" s="12"/>
      <c r="K8" s="16"/>
      <c r="L8" s="16"/>
      <c r="M8" s="23"/>
      <c r="N8" s="14"/>
      <c r="O8" s="14"/>
      <c r="P8" s="2"/>
      <c r="Q8" s="6"/>
      <c r="R8" s="7"/>
      <c r="S8" s="7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</row>
    <row r="9" spans="1:86" s="24" customFormat="1" ht="18" customHeight="1">
      <c r="A9" s="1"/>
      <c r="B9" s="19"/>
      <c r="C9" s="424" t="str">
        <f ca="1">'Free-Серия'!$C$5</f>
        <v/>
      </c>
      <c r="D9" s="424"/>
      <c r="E9" s="424"/>
      <c r="F9" s="424"/>
      <c r="G9" s="422" t="s">
        <v>189</v>
      </c>
      <c r="H9" s="422"/>
      <c r="I9" s="422"/>
      <c r="J9" s="422"/>
      <c r="K9" s="422"/>
      <c r="L9" s="422"/>
      <c r="M9" s="125">
        <v>110</v>
      </c>
      <c r="N9" s="14"/>
      <c r="O9" s="14"/>
      <c r="P9" s="2"/>
      <c r="Q9" s="6"/>
      <c r="R9" s="7"/>
      <c r="S9" s="7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</row>
    <row r="10" spans="1:86" ht="3" customHeight="1">
      <c r="B10" s="2"/>
      <c r="C10" s="20"/>
      <c r="D10" s="20"/>
      <c r="E10" s="20"/>
      <c r="F10" s="20"/>
      <c r="G10" s="16"/>
      <c r="H10" s="16"/>
      <c r="I10" s="16"/>
      <c r="J10" s="16"/>
      <c r="K10" s="16"/>
      <c r="L10" s="16"/>
      <c r="M10" s="16"/>
      <c r="N10" s="14"/>
      <c r="O10" s="14"/>
    </row>
    <row r="11" spans="1:86" ht="18.75" customHeight="1">
      <c r="B11" s="19"/>
      <c r="C11" s="424" t="str">
        <f ca="1">'Free-Серия'!$C$5</f>
        <v/>
      </c>
      <c r="D11" s="424"/>
      <c r="E11" s="424"/>
      <c r="F11" s="424"/>
      <c r="G11" s="422" t="s">
        <v>254</v>
      </c>
      <c r="H11" s="422"/>
      <c r="I11" s="422"/>
      <c r="J11" s="422"/>
      <c r="K11" s="422"/>
      <c r="L11" s="422"/>
      <c r="M11" s="123" t="s">
        <v>186</v>
      </c>
      <c r="N11" s="14"/>
      <c r="O11" s="14"/>
    </row>
    <row r="12" spans="1:86" s="24" customFormat="1" ht="3" customHeight="1">
      <c r="A12" s="1"/>
      <c r="B12" s="19"/>
      <c r="C12" s="20"/>
      <c r="D12" s="20"/>
      <c r="E12" s="20"/>
      <c r="F12" s="20"/>
      <c r="G12" s="21"/>
      <c r="H12" s="16"/>
      <c r="I12" s="22"/>
      <c r="J12" s="12"/>
      <c r="K12" s="16"/>
      <c r="L12" s="16"/>
      <c r="M12" s="23"/>
      <c r="N12" s="14"/>
      <c r="O12" s="14"/>
      <c r="P12" s="2"/>
      <c r="Q12" s="6"/>
      <c r="R12" s="7"/>
      <c r="S12" s="7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</row>
    <row r="13" spans="1:86" ht="18.75" customHeight="1">
      <c r="B13" s="19"/>
      <c r="C13" s="424" t="str">
        <f ca="1">'Free-Серия'!$C$5</f>
        <v/>
      </c>
      <c r="D13" s="424"/>
      <c r="E13" s="424"/>
      <c r="F13" s="424"/>
      <c r="G13" s="422" t="s">
        <v>353</v>
      </c>
      <c r="H13" s="422"/>
      <c r="I13" s="422"/>
      <c r="J13" s="422"/>
      <c r="K13" s="422"/>
      <c r="L13" s="422"/>
      <c r="M13" s="123" t="s">
        <v>186</v>
      </c>
      <c r="N13" s="14"/>
      <c r="O13" s="14"/>
    </row>
    <row r="14" spans="1:86" s="24" customFormat="1" ht="3" customHeight="1">
      <c r="A14" s="1"/>
      <c r="B14" s="19"/>
      <c r="C14" s="20"/>
      <c r="D14" s="20"/>
      <c r="E14" s="20"/>
      <c r="F14" s="20"/>
      <c r="G14" s="21"/>
      <c r="H14" s="16"/>
      <c r="I14" s="22"/>
      <c r="J14" s="12"/>
      <c r="K14" s="16"/>
      <c r="L14" s="16"/>
      <c r="M14" s="23"/>
      <c r="N14" s="14"/>
      <c r="O14" s="14"/>
      <c r="P14" s="2"/>
      <c r="Q14" s="6"/>
      <c r="R14" s="7"/>
      <c r="S14" s="7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</row>
    <row r="15" spans="1:86" ht="18.75" customHeight="1">
      <c r="B15" s="19"/>
      <c r="C15" s="424" t="str">
        <f ca="1">'Free-Серия'!$C$5</f>
        <v/>
      </c>
      <c r="D15" s="424"/>
      <c r="E15" s="424"/>
      <c r="F15" s="424"/>
      <c r="G15" s="422" t="s">
        <v>354</v>
      </c>
      <c r="H15" s="422"/>
      <c r="I15" s="422"/>
      <c r="J15" s="422"/>
      <c r="K15" s="422"/>
      <c r="L15" s="422"/>
      <c r="M15" s="123" t="s">
        <v>186</v>
      </c>
      <c r="N15" s="14"/>
      <c r="O15" s="14"/>
    </row>
    <row r="16" spans="1:86" s="24" customFormat="1" ht="3" customHeight="1">
      <c r="A16" s="1"/>
      <c r="B16" s="19"/>
      <c r="C16" s="20"/>
      <c r="D16" s="20"/>
      <c r="E16" s="20"/>
      <c r="F16" s="20"/>
      <c r="G16" s="21"/>
      <c r="H16" s="16"/>
      <c r="I16" s="22"/>
      <c r="J16" s="12"/>
      <c r="K16" s="16"/>
      <c r="L16" s="16"/>
      <c r="M16" s="23"/>
      <c r="N16" s="14"/>
      <c r="O16" s="14"/>
      <c r="P16" s="2"/>
      <c r="Q16" s="6"/>
      <c r="R16" s="7"/>
      <c r="S16" s="7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</row>
    <row r="17" spans="1:86" s="24" customFormat="1" ht="18" customHeight="1">
      <c r="A17" s="1"/>
      <c r="B17" s="19"/>
      <c r="C17" s="424" t="str">
        <f ca="1">'Free-Серия'!$C$5</f>
        <v/>
      </c>
      <c r="D17" s="424"/>
      <c r="E17" s="424"/>
      <c r="F17" s="424"/>
      <c r="G17" s="422" t="s">
        <v>208</v>
      </c>
      <c r="H17" s="422"/>
      <c r="I17" s="422"/>
      <c r="J17" s="422"/>
      <c r="K17" s="422"/>
      <c r="L17" s="422"/>
      <c r="M17" s="123" t="s">
        <v>186</v>
      </c>
      <c r="N17" s="14"/>
      <c r="O17" s="14"/>
      <c r="P17" s="2"/>
      <c r="Q17" s="6"/>
      <c r="R17" s="7"/>
      <c r="S17" s="7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</row>
    <row r="18" spans="1:86" s="24" customFormat="1" ht="15.75" hidden="1" customHeight="1" thickBot="1">
      <c r="A18" s="1"/>
      <c r="B18" s="19"/>
      <c r="C18" s="20"/>
      <c r="D18" s="20"/>
      <c r="E18" s="20"/>
      <c r="F18" s="20"/>
      <c r="G18" s="21"/>
      <c r="H18" s="16"/>
      <c r="I18" s="22"/>
      <c r="J18" s="12"/>
      <c r="K18" s="16"/>
      <c r="L18" s="16"/>
      <c r="M18" s="23"/>
      <c r="N18" s="14"/>
      <c r="O18" s="14"/>
      <c r="P18" s="2"/>
      <c r="Q18" s="6"/>
      <c r="R18" s="7"/>
      <c r="S18" s="7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</row>
    <row r="19" spans="1:86" s="24" customFormat="1" ht="18" hidden="1" customHeight="1" thickTop="1" thickBot="1">
      <c r="A19" s="1"/>
      <c r="B19" s="2"/>
      <c r="C19" s="383"/>
      <c r="D19" s="383"/>
      <c r="E19" s="383"/>
      <c r="F19" s="383"/>
      <c r="G19" s="384"/>
      <c r="H19" s="422" t="s">
        <v>533</v>
      </c>
      <c r="I19" s="422"/>
      <c r="J19" s="435"/>
      <c r="K19" s="425" t="s">
        <v>517</v>
      </c>
      <c r="L19" s="426"/>
      <c r="M19" s="427"/>
      <c r="N19" s="14"/>
      <c r="O19" s="14"/>
      <c r="P19" s="2"/>
      <c r="Q19" s="6"/>
      <c r="R19" s="7"/>
      <c r="S19" s="7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</row>
    <row r="20" spans="1:86" s="24" customFormat="1" ht="6" hidden="1" customHeight="1" thickTop="1">
      <c r="A20" s="1"/>
      <c r="B20" s="19"/>
      <c r="C20" s="20"/>
      <c r="D20" s="20"/>
      <c r="E20" s="20"/>
      <c r="F20" s="20"/>
      <c r="G20" s="21"/>
      <c r="H20" s="16"/>
      <c r="I20" s="22"/>
      <c r="J20" s="12"/>
      <c r="K20" s="16"/>
      <c r="L20" s="16"/>
      <c r="M20" s="23"/>
      <c r="N20" s="14"/>
      <c r="O20" s="14"/>
      <c r="P20" s="2"/>
      <c r="Q20" s="6"/>
      <c r="R20" s="7"/>
      <c r="S20" s="7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</row>
    <row r="21" spans="1:86" s="24" customFormat="1" ht="18" hidden="1" customHeight="1">
      <c r="A21" s="1"/>
      <c r="B21" s="2"/>
      <c r="C21" s="383"/>
      <c r="D21" s="383"/>
      <c r="E21" s="383"/>
      <c r="F21" s="383"/>
      <c r="G21" s="384"/>
      <c r="H21" s="422" t="s">
        <v>534</v>
      </c>
      <c r="I21" s="422"/>
      <c r="J21" s="422"/>
      <c r="K21" s="428" t="s">
        <v>531</v>
      </c>
      <c r="L21" s="428"/>
      <c r="M21" s="428"/>
      <c r="N21" s="14"/>
      <c r="O21" s="14"/>
      <c r="P21" s="2"/>
      <c r="Q21" s="6"/>
      <c r="R21" s="7"/>
      <c r="S21" s="7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</row>
    <row r="22" spans="1:86" s="24" customFormat="1" ht="6" customHeight="1">
      <c r="A22" s="1"/>
      <c r="B22" s="19"/>
      <c r="C22" s="21"/>
      <c r="D22" s="26"/>
      <c r="E22" s="26"/>
      <c r="F22" s="27"/>
      <c r="G22" s="95"/>
      <c r="H22" s="16"/>
      <c r="I22" s="22"/>
      <c r="J22" s="95"/>
      <c r="K22" s="16"/>
      <c r="L22" s="16"/>
      <c r="M22" s="23"/>
      <c r="N22" s="23"/>
      <c r="O22" s="14"/>
      <c r="P22" s="2"/>
      <c r="Q22" s="6"/>
      <c r="R22" s="7"/>
      <c r="S22" s="7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</row>
    <row r="23" spans="1:86" s="24" customFormat="1" ht="18" customHeight="1">
      <c r="A23" s="102">
        <f>IFERROR(MATCH(SMALL(FFLH15_Итого_110,1),FFLH15_Итого_110,0),0)</f>
        <v>24</v>
      </c>
      <c r="B23" s="19"/>
      <c r="C23" s="30" t="s">
        <v>51</v>
      </c>
      <c r="D23" s="34"/>
      <c r="E23" s="34"/>
      <c r="F23" s="34"/>
      <c r="G23" s="32" t="s">
        <v>48</v>
      </c>
      <c r="H23" s="32"/>
      <c r="I23" s="32"/>
      <c r="J23" s="33"/>
      <c r="K23" s="34"/>
      <c r="L23" s="34"/>
      <c r="M23" s="35"/>
      <c r="N23" s="35"/>
      <c r="O23" s="35"/>
      <c r="P23" s="2"/>
      <c r="Q23" s="6"/>
      <c r="R23" s="7"/>
      <c r="S23" s="7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</row>
    <row r="24" spans="1:86" ht="18" customHeight="1" thickBot="1">
      <c r="A24" s="102">
        <f>IFERROR(MATCH(SMALL(FFLH15_Итого_90,1),FFLH15_Итого_90,0),0)</f>
        <v>24</v>
      </c>
      <c r="B24" s="19"/>
      <c r="C24" s="41"/>
      <c r="D24" s="36"/>
      <c r="E24" s="316">
        <v>2</v>
      </c>
      <c r="F24" s="36"/>
      <c r="G24" s="38"/>
      <c r="H24" s="38"/>
      <c r="I24" s="38"/>
      <c r="J24" s="36"/>
      <c r="K24" s="36"/>
      <c r="L24" s="38"/>
      <c r="M24" s="39"/>
      <c r="N24" s="39"/>
      <c r="O24" s="38"/>
    </row>
    <row r="25" spans="1:86" ht="21" customHeight="1" thickTop="1" thickBot="1">
      <c r="A25" s="102">
        <f>IFERROR(MATCH(SMALL(FFLH15_Итого_75,1),FFLH15_Итого_75,0),0)</f>
        <v>18</v>
      </c>
      <c r="B25" s="19"/>
      <c r="C25" s="41"/>
      <c r="D25" s="42" t="s">
        <v>0</v>
      </c>
      <c r="E25" s="43">
        <v>6</v>
      </c>
      <c r="F25" s="44" t="s">
        <v>1</v>
      </c>
      <c r="G25" s="44" t="s">
        <v>2</v>
      </c>
      <c r="H25" s="44"/>
      <c r="I25" s="44"/>
      <c r="J25" s="44" t="s">
        <v>59</v>
      </c>
      <c r="K25" s="44" t="s">
        <v>3</v>
      </c>
      <c r="L25" s="44" t="s">
        <v>34</v>
      </c>
      <c r="M25" s="44"/>
      <c r="N25" s="45" t="s">
        <v>200</v>
      </c>
      <c r="O25" s="46"/>
      <c r="R25" s="1"/>
      <c r="S25" s="115"/>
    </row>
    <row r="26" spans="1:86" ht="17.100000000000001" customHeight="1" thickTop="1">
      <c r="B26" s="19"/>
      <c r="C26" s="41">
        <f t="shared" ref="C26:C36" ca="1" si="0">MATCH(E26,ИндексСправ,0)</f>
        <v>104</v>
      </c>
      <c r="D26" s="47">
        <v>1</v>
      </c>
      <c r="E26" s="103" t="str">
        <f ca="1">IF(FFLH15Угол=INDEX(спрУгол,3,1+Корректор),IF(FFLH15Index110&lt;&gt;0,INDEX(FFLH15_Арт_110,FFLH15Index110,3-MATCH(FFLH15Цвет,ЦветМП,0)),"-"),IF(FFLH15Угол=INDEX(спрУгол,2,1),IF(FFLH15Index90&lt;&gt;0,INDEX(FFLH15_Арт_90,FFLH15Index90,3-MATCH(FFLH15Цвет,ЦветМП,0)),"-"),IF(FFLH15Угол=INDEX(спрУгол,1,1),IF(FFLH15Index75&lt;&gt;0,INDEX(FFLH15_Арт_75,FFLH15Index75,3-MATCH(FFLH15Цвет,ЦветМП,0)),"-"),"Иное")))</f>
        <v>372.39.430</v>
      </c>
      <c r="F26" s="48" t="str">
        <f ca="1">E26</f>
        <v>372.39.430</v>
      </c>
      <c r="G26" s="432" t="str">
        <f t="shared" ref="G26:G36" ca="1" si="1">IF(F26&lt;&gt;"",INDEX(СправАссорт,фСправТоварFFH15,4),"")</f>
        <v>Подъемный механизм FREE FLAP H 1.5 - Model D; белый</v>
      </c>
      <c r="H26" s="433"/>
      <c r="I26" s="434"/>
      <c r="J26" s="47">
        <f>IF(FFLH15Угол=INDEX(спрУгол,3,1),IF(FFLH15Index110&lt;&gt;0,INDEX(FFLH15_Кол_во_110,FFLH15Index110,1),"-"),IF(FFLH15Угол=INDEX(спрУгол,2,1),IF(FFLH15Index90&lt;&gt;0,INDEX(FFLH15_Кол_во_90,FFLH15Index90,1),"-"),IF(FFLH15Угол=INDEX(спрУгол,1,1),IF(FFLH15Index75&lt;&gt;0,INDEX(FFLH15_Кол_во_75,FFLH15Index75,1),"-"),"Иное")))</f>
        <v>2</v>
      </c>
      <c r="K26" s="49" t="str">
        <f ca="1">IF($F26&lt;&gt;"",Таб_Вес!$AC$35,"")</f>
        <v>шт</v>
      </c>
      <c r="L26" s="50">
        <f t="shared" ref="L26" ca="1" si="2">IF(AND(J26&lt;&gt;"",M26=""),INDEX(СправАссорт,C26,7),"")</f>
        <v>0</v>
      </c>
      <c r="M26" s="407"/>
      <c r="N26" s="51">
        <f t="shared" ref="N26" ca="1" si="3">IF(J26&lt;&gt;"",J26*LARGE(L26:M26,1),"")</f>
        <v>0</v>
      </c>
      <c r="O26" s="52"/>
    </row>
    <row r="27" spans="1:86" s="24" customFormat="1" ht="17.100000000000001" customHeight="1">
      <c r="B27" s="19"/>
      <c r="C27" s="41">
        <f t="shared" ca="1" si="0"/>
        <v>28</v>
      </c>
      <c r="D27" s="55">
        <f ca="1">IF(F27&lt;&gt;"",LARGE(D26:D26,1)+1,"")</f>
        <v>2</v>
      </c>
      <c r="E27" s="104" t="str">
        <f ca="1">INDEX(Справ!$E$12:$G$13,MATCH(FFHL15Цвет,Справ!$E$12:$E$13,0),2+Корректор)</f>
        <v>372.39.015</v>
      </c>
      <c r="F27" s="83" t="str">
        <f ca="1">E27</f>
        <v>372.39.015</v>
      </c>
      <c r="G27" s="416" t="str">
        <f t="shared" ca="1" si="1"/>
        <v>Крепление к фасаду, для Free flap H1.5, белое</v>
      </c>
      <c r="H27" s="417"/>
      <c r="I27" s="418"/>
      <c r="J27" s="55">
        <f ca="1">IF(F27&lt;&gt;"",$J$26,"")</f>
        <v>2</v>
      </c>
      <c r="K27" s="57" t="str">
        <f ca="1">IF($F27&lt;&gt;"",Таб_Вес!$AC$35,"")</f>
        <v>шт</v>
      </c>
      <c r="L27" s="58">
        <f t="shared" ref="L27:L36" ca="1" si="4">IF(AND(J27&lt;&gt;"",M27=""),INDEX(СправАссорт,C27,7),"")</f>
        <v>0</v>
      </c>
      <c r="M27" s="409"/>
      <c r="N27" s="59">
        <f t="shared" ref="N27:N36" ca="1" si="5">IF(J27&lt;&gt;"",J27*LARGE(L27:M27,1),"")</f>
        <v>0</v>
      </c>
      <c r="O27" s="52"/>
      <c r="P27" s="2"/>
      <c r="Q27" s="6"/>
      <c r="R27" s="7"/>
      <c r="S27" s="7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</row>
    <row r="28" spans="1:86" s="24" customFormat="1" ht="17.100000000000001" customHeight="1">
      <c r="B28" s="19"/>
      <c r="C28" s="41">
        <f t="shared" ca="1" si="0"/>
        <v>30</v>
      </c>
      <c r="D28" s="55">
        <f ca="1">IF(F28&lt;&gt;"",LARGE(D27:D27,1)+1,"")</f>
        <v>3</v>
      </c>
      <c r="E28" s="104" t="str">
        <f ca="1">INDEX(Справ!$E$16:$G$17,MATCH(FFHL15Цвет,Справ!$E$16:$E$17,0),2+Корректор)</f>
        <v>372.39.017</v>
      </c>
      <c r="F28" s="83" t="str">
        <f ca="1">E28</f>
        <v>372.39.017</v>
      </c>
      <c r="G28" s="416" t="str">
        <f t="shared" ca="1" si="1"/>
        <v>Крепление к корпусу, для Free flap H1.5, белое</v>
      </c>
      <c r="H28" s="417"/>
      <c r="I28" s="418"/>
      <c r="J28" s="55">
        <f ca="1">IF(F28&lt;&gt;"",$J$26,"")</f>
        <v>2</v>
      </c>
      <c r="K28" s="57" t="str">
        <f ca="1">IF($F28&lt;&gt;"",Таб_Вес!$AC$35,"")</f>
        <v>шт</v>
      </c>
      <c r="L28" s="58">
        <f t="shared" ca="1" si="4"/>
        <v>0</v>
      </c>
      <c r="M28" s="409"/>
      <c r="N28" s="59">
        <f t="shared" ca="1" si="5"/>
        <v>0</v>
      </c>
      <c r="O28" s="52"/>
      <c r="P28" s="2"/>
      <c r="Q28" s="6"/>
      <c r="R28" s="7"/>
      <c r="S28" s="7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</row>
    <row r="29" spans="1:86" s="24" customFormat="1" ht="17.100000000000001" customHeight="1">
      <c r="B29" s="19"/>
      <c r="C29" s="41">
        <f t="shared" ca="1" si="0"/>
        <v>26</v>
      </c>
      <c r="D29" s="55">
        <f ca="1">IF(F29&lt;&gt;"",LARGE(D26:D28,1)+1,"")</f>
        <v>4</v>
      </c>
      <c r="E29" s="104" t="str">
        <f ca="1">INDEX(Справ!$E$20:$G$21,MATCH(FFHL15Цвет,Справ!$E$16:$E$17,0),2+Корректор)</f>
        <v>372.39.003</v>
      </c>
      <c r="F29" s="83" t="str">
        <f ca="1">E29</f>
        <v>372.39.003</v>
      </c>
      <c r="G29" s="416" t="str">
        <f t="shared" ca="1" si="1"/>
        <v>Заглушка HAFELE для Free flap H1.5, белая, левая</v>
      </c>
      <c r="H29" s="417"/>
      <c r="I29" s="418"/>
      <c r="J29" s="55">
        <f ca="1">IF(F29&lt;&gt;"",1,"")</f>
        <v>1</v>
      </c>
      <c r="K29" s="57" t="str">
        <f ca="1">IF($F29&lt;&gt;"",Таб_Вес!$AC$35,"")</f>
        <v>шт</v>
      </c>
      <c r="L29" s="58">
        <f t="shared" ca="1" si="4"/>
        <v>0</v>
      </c>
      <c r="M29" s="409"/>
      <c r="N29" s="59">
        <f t="shared" ca="1" si="5"/>
        <v>0</v>
      </c>
      <c r="O29" s="52"/>
      <c r="P29" s="2"/>
      <c r="Q29" s="6"/>
      <c r="R29" s="7"/>
      <c r="S29" s="7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</row>
    <row r="30" spans="1:86" s="24" customFormat="1" ht="17.100000000000001" customHeight="1">
      <c r="B30" s="19"/>
      <c r="C30" s="41">
        <f t="shared" ca="1" si="0"/>
        <v>25</v>
      </c>
      <c r="D30" s="62">
        <f ca="1">IF(F30&lt;&gt;"",LARGE(D26:D29,1)+1,"")</f>
        <v>5</v>
      </c>
      <c r="E30" s="62" t="str">
        <f ca="1">INDEX(Справ!$E$24:$G$25,MATCH(FFHL15Цвет,Справ!$E$16:$E$17,0),2+Корректор)</f>
        <v>372.39.002</v>
      </c>
      <c r="F30" s="62" t="str">
        <f ca="1">IF($J$26=2,E30,"")</f>
        <v>372.39.002</v>
      </c>
      <c r="G30" s="429" t="str">
        <f t="shared" ca="1" si="1"/>
        <v>Заглушка HAFELE для Free flap H1.5, белая, правая</v>
      </c>
      <c r="H30" s="430"/>
      <c r="I30" s="431"/>
      <c r="J30" s="62">
        <f ca="1">IF(F30&lt;&gt;"",1,"")</f>
        <v>1</v>
      </c>
      <c r="K30" s="105" t="str">
        <f ca="1">IF($F30&lt;&gt;"",Таб_Вес!$AC$35,"")</f>
        <v>шт</v>
      </c>
      <c r="L30" s="64">
        <f t="shared" ca="1" si="4"/>
        <v>0</v>
      </c>
      <c r="M30" s="410"/>
      <c r="N30" s="64">
        <f t="shared" ca="1" si="5"/>
        <v>0</v>
      </c>
      <c r="O30" s="52"/>
      <c r="P30" s="2"/>
      <c r="Q30" s="6"/>
      <c r="R30" s="7"/>
      <c r="S30" s="7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</row>
    <row r="31" spans="1:86" s="24" customFormat="1" ht="17.100000000000001" customHeight="1">
      <c r="B31" s="19"/>
      <c r="C31" s="41">
        <f t="shared" ca="1" si="0"/>
        <v>142</v>
      </c>
      <c r="D31" s="84" t="str">
        <f>IF(F31&lt;&gt;"",LARGE(D26:D30,1)+1,"")</f>
        <v/>
      </c>
      <c r="E31" s="61" t="str">
        <f ca="1">INDEX(Карта!$B$2:$S$22,ROW()-ROW($D$25),INDIRECT(ADDRESS(ROW($D$25),COLUMN()),1)*2-1+Корректор)</f>
        <v>329.17.700</v>
      </c>
      <c r="F31" s="62" t="str">
        <f>IF($M$11=Таб_Вес!$AC$25,E31,"")</f>
        <v/>
      </c>
      <c r="G31" s="415" t="str">
        <f t="shared" si="1"/>
        <v/>
      </c>
      <c r="H31" s="415"/>
      <c r="I31" s="415"/>
      <c r="J31" s="53" t="str">
        <f>IF(AND(F31&lt;&gt;"",$M$13="-"),2,"")</f>
        <v/>
      </c>
      <c r="K31" s="62" t="str">
        <f>IF($J31&lt;&gt;"",Таб_Вес!$AC$35,"")</f>
        <v/>
      </c>
      <c r="L31" s="63" t="str">
        <f t="shared" si="4"/>
        <v/>
      </c>
      <c r="M31" s="410"/>
      <c r="N31" s="64" t="str">
        <f t="shared" si="5"/>
        <v/>
      </c>
      <c r="O31" s="52"/>
      <c r="P31" s="2"/>
      <c r="Q31" s="6"/>
      <c r="R31" s="7"/>
      <c r="S31" s="7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</row>
    <row r="32" spans="1:86" s="24" customFormat="1" ht="17.100000000000001" customHeight="1">
      <c r="B32" s="19"/>
      <c r="C32" s="41">
        <f t="shared" ca="1" si="0"/>
        <v>139</v>
      </c>
      <c r="D32" s="84" t="str">
        <f>IF(F32&lt;&gt;"",LARGE(D$26:D31,1)+1,"")</f>
        <v/>
      </c>
      <c r="E32" s="61" t="str">
        <f ca="1">INDEX(Карта!$B$2:$S$22,ROW()-ROW($D$25),INDIRECT(ADDRESS(ROW($D$25),COLUMN()),1)*2-1+Корректор)</f>
        <v>329.73.503</v>
      </c>
      <c r="F32" s="62" t="str">
        <f>IF($M$11=Таб_Вес!$AC$25,E32,"")</f>
        <v/>
      </c>
      <c r="G32" s="415" t="str">
        <f t="shared" si="1"/>
        <v/>
      </c>
      <c r="H32" s="415"/>
      <c r="I32" s="415"/>
      <c r="J32" s="53" t="str">
        <f>IF(AND(F32&lt;&gt;"",$M$13="-"),2,"")</f>
        <v/>
      </c>
      <c r="K32" s="62" t="str">
        <f>IF($J32&lt;&gt;"",Таб_Вес!$AC$35,"")</f>
        <v/>
      </c>
      <c r="L32" s="63" t="str">
        <f t="shared" si="4"/>
        <v/>
      </c>
      <c r="M32" s="410"/>
      <c r="N32" s="64" t="str">
        <f t="shared" si="5"/>
        <v/>
      </c>
      <c r="O32" s="52"/>
      <c r="P32" s="2"/>
      <c r="Q32" s="6"/>
      <c r="R32" s="7"/>
      <c r="S32" s="7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</row>
    <row r="33" spans="1:86" s="24" customFormat="1" ht="17.100000000000001" customHeight="1">
      <c r="B33" s="19"/>
      <c r="C33" s="41">
        <f t="shared" ca="1" si="0"/>
        <v>144</v>
      </c>
      <c r="D33" s="84" t="str">
        <f>IF(F33&lt;&gt;"",LARGE(D$26:D32,1)+1,"")</f>
        <v/>
      </c>
      <c r="E33" s="61" t="str">
        <f ca="1">INDEX(Карта!$B$2:$S$22,ROW()-ROW($D$25),INDIRECT(ADDRESS(ROW($D$25),COLUMN()),1)*2-1+Корректор)</f>
        <v>329.17.600</v>
      </c>
      <c r="F33" s="62" t="str">
        <f>IF($M$13=Таб_Вес!$AC$25,E33,"")</f>
        <v/>
      </c>
      <c r="G33" s="415" t="str">
        <f t="shared" si="1"/>
        <v/>
      </c>
      <c r="H33" s="415"/>
      <c r="I33" s="415"/>
      <c r="J33" s="53" t="str">
        <f>IF(AND(F33&lt;&gt;"",$M$11="-"),2,"")</f>
        <v/>
      </c>
      <c r="K33" s="62" t="str">
        <f>IF($J33&lt;&gt;"",Таб_Вес!$AC$35,"")</f>
        <v/>
      </c>
      <c r="L33" s="63" t="str">
        <f t="shared" si="4"/>
        <v/>
      </c>
      <c r="M33" s="410"/>
      <c r="N33" s="64" t="str">
        <f t="shared" si="5"/>
        <v/>
      </c>
      <c r="O33" s="52"/>
      <c r="P33" s="2"/>
      <c r="Q33" s="6"/>
      <c r="R33" s="7"/>
      <c r="S33" s="7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</row>
    <row r="34" spans="1:86" s="24" customFormat="1" ht="17.100000000000001" customHeight="1">
      <c r="B34" s="19"/>
      <c r="C34" s="106">
        <f t="shared" ca="1" si="0"/>
        <v>145</v>
      </c>
      <c r="D34" s="84" t="str">
        <f>IF(F34&lt;&gt;"",LARGE(D$26:D33,1)+1,"")</f>
        <v/>
      </c>
      <c r="E34" s="61" t="str">
        <f ca="1">INDEX(Карта!$B$2:$S$22,ROW()-ROW($D$25),INDIRECT(ADDRESS(ROW($D$25),COLUMN()),1)*2-1+Корректор)</f>
        <v>316.51.502</v>
      </c>
      <c r="F34" s="62" t="str">
        <f>IF($M$13=Таб_Вес!$AC$25,E34,"")</f>
        <v/>
      </c>
      <c r="G34" s="415" t="str">
        <f t="shared" si="1"/>
        <v/>
      </c>
      <c r="H34" s="415"/>
      <c r="I34" s="415"/>
      <c r="J34" s="53" t="str">
        <f>IF(AND(F34&lt;&gt;"",$M$11="-"),2,"")</f>
        <v/>
      </c>
      <c r="K34" s="62" t="str">
        <f>IF($J34&lt;&gt;"",Таб_Вес!$AC$35,"")</f>
        <v/>
      </c>
      <c r="L34" s="63" t="str">
        <f t="shared" si="4"/>
        <v/>
      </c>
      <c r="M34" s="410"/>
      <c r="N34" s="64" t="str">
        <f t="shared" si="5"/>
        <v/>
      </c>
      <c r="O34" s="52"/>
      <c r="P34" s="2"/>
      <c r="Q34" s="6"/>
      <c r="R34" s="7"/>
      <c r="S34" s="7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</row>
    <row r="35" spans="1:86" s="24" customFormat="1" ht="17.100000000000001" customHeight="1">
      <c r="B35" s="19"/>
      <c r="C35" s="106">
        <f t="shared" ca="1" si="0"/>
        <v>114</v>
      </c>
      <c r="D35" s="84" t="str">
        <f>IF(F35&lt;&gt;"",LARGE(D$26:D34,1)+1,"")</f>
        <v/>
      </c>
      <c r="E35" s="61" t="str">
        <f ca="1">INDEX(Карта!$B$2:$S$22,ROW()-ROW($D$25),INDIRECT(ADDRESS(ROW($D$25),COLUMN()),1)*2-1+Корректор)</f>
        <v>316.53.710</v>
      </c>
      <c r="F35" s="62" t="str">
        <f>IF($M$15=Таб_Вес!$AC$25,E35,"")</f>
        <v/>
      </c>
      <c r="G35" s="415" t="str">
        <f t="shared" si="1"/>
        <v/>
      </c>
      <c r="H35" s="415"/>
      <c r="I35" s="415"/>
      <c r="J35" s="53" t="str">
        <f>IF(AND(F35&lt;&gt;"",$M$11="-"),1,"")</f>
        <v/>
      </c>
      <c r="K35" s="62" t="str">
        <f>IF($J35&lt;&gt;"",Таб_Вес!$AC$35,"")</f>
        <v/>
      </c>
      <c r="L35" s="63" t="str">
        <f t="shared" si="4"/>
        <v/>
      </c>
      <c r="M35" s="410"/>
      <c r="N35" s="64" t="str">
        <f t="shared" si="5"/>
        <v/>
      </c>
      <c r="O35" s="52"/>
      <c r="P35" s="2"/>
      <c r="Q35" s="6"/>
      <c r="R35" s="7"/>
      <c r="S35" s="7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</row>
    <row r="36" spans="1:86" s="24" customFormat="1" ht="17.100000000000001" customHeight="1">
      <c r="B36" s="19"/>
      <c r="C36" s="106">
        <f t="shared" ca="1" si="0"/>
        <v>22</v>
      </c>
      <c r="D36" s="84" t="str">
        <f>IF(F36&lt;&gt;"",LARGE(D26:D35,1)+1,"")</f>
        <v/>
      </c>
      <c r="E36" s="61" t="str">
        <f ca="1">INDEX(Карта!$B$2:$S$22,ROW()-ROW($D$25),INDIRECT(ADDRESS(ROW($D$25),COLUMN()),1)*2-1+Корректор)</f>
        <v>235.79.301</v>
      </c>
      <c r="F36" s="62" t="str">
        <f>IF(M17=Таб_Вес!$AC$25,E36,"")</f>
        <v/>
      </c>
      <c r="G36" s="415" t="str">
        <f t="shared" si="1"/>
        <v/>
      </c>
      <c r="H36" s="415"/>
      <c r="I36" s="415"/>
      <c r="J36" s="53" t="str">
        <f>IF(F36&lt;&gt;"",1,"")</f>
        <v/>
      </c>
      <c r="K36" s="62" t="str">
        <f>IF($F36&lt;&gt;"",Таб_Вес!$AC$35,"")</f>
        <v/>
      </c>
      <c r="L36" s="63" t="str">
        <f t="shared" si="4"/>
        <v/>
      </c>
      <c r="M36" s="410"/>
      <c r="N36" s="64" t="str">
        <f t="shared" si="5"/>
        <v/>
      </c>
      <c r="O36" s="52"/>
      <c r="P36" s="2"/>
      <c r="Q36" s="6"/>
      <c r="R36" s="7"/>
      <c r="S36" s="7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</row>
    <row r="37" spans="1:86" s="24" customFormat="1" ht="18" customHeight="1">
      <c r="A37" s="1"/>
      <c r="B37" s="19"/>
      <c r="C37" s="30" t="s">
        <v>58</v>
      </c>
      <c r="D37" s="65"/>
      <c r="E37" s="65"/>
      <c r="F37" s="66"/>
      <c r="G37" s="67"/>
      <c r="H37" s="67"/>
      <c r="I37" s="67"/>
      <c r="J37" s="68"/>
      <c r="K37" s="66"/>
      <c r="L37" s="69" t="s">
        <v>29</v>
      </c>
      <c r="M37" s="70"/>
      <c r="N37" s="70">
        <f ca="1">SUM(N26:N36)</f>
        <v>0</v>
      </c>
      <c r="O37" s="71"/>
      <c r="P37" s="2"/>
      <c r="Q37" s="6"/>
      <c r="R37" s="7"/>
      <c r="S37" s="7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</row>
    <row r="38" spans="1:86" s="24" customFormat="1" ht="8.1" customHeight="1">
      <c r="A38" s="1"/>
      <c r="B38" s="2"/>
      <c r="C38" s="72"/>
      <c r="D38" s="73"/>
      <c r="E38" s="73"/>
      <c r="F38" s="74"/>
      <c r="G38" s="75"/>
      <c r="H38" s="75"/>
      <c r="I38" s="75"/>
      <c r="J38" s="76"/>
      <c r="K38" s="74"/>
      <c r="L38" s="77"/>
      <c r="M38" s="78"/>
      <c r="N38" s="78"/>
      <c r="O38" s="79"/>
      <c r="P38" s="80"/>
      <c r="Q38" s="6"/>
      <c r="R38" s="7"/>
      <c r="S38" s="7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</row>
    <row r="39" spans="1:86" s="7" customFormat="1">
      <c r="B39" s="2"/>
      <c r="C39" s="19"/>
      <c r="D39" s="107"/>
      <c r="E39" s="107"/>
      <c r="F39" s="108"/>
      <c r="G39" s="109"/>
      <c r="H39" s="109"/>
      <c r="I39" s="109"/>
      <c r="J39" s="110"/>
      <c r="K39" s="108"/>
      <c r="L39" s="111"/>
      <c r="M39" s="94"/>
      <c r="N39" s="94"/>
      <c r="O39" s="112"/>
      <c r="P39" s="80"/>
      <c r="Q39" s="6"/>
    </row>
    <row r="40" spans="1:86" s="7" customFormat="1">
      <c r="Q40" s="6"/>
    </row>
    <row r="41" spans="1:86" s="7" customFormat="1">
      <c r="Q41" s="6"/>
    </row>
    <row r="42" spans="1:86" s="7" customFormat="1">
      <c r="Q42" s="6"/>
    </row>
    <row r="43" spans="1:86" s="7" customFormat="1">
      <c r="Q43" s="6"/>
    </row>
    <row r="44" spans="1:86" s="7" customFormat="1">
      <c r="Q44" s="6"/>
    </row>
    <row r="45" spans="1:86" s="7" customFormat="1">
      <c r="Q45" s="6"/>
    </row>
    <row r="46" spans="1:86" s="7" customFormat="1">
      <c r="Q46" s="6"/>
    </row>
    <row r="47" spans="1:86" s="7" customFormat="1">
      <c r="Q47" s="6"/>
    </row>
    <row r="48" spans="1:86" s="7" customFormat="1">
      <c r="Q48" s="6"/>
    </row>
    <row r="49" spans="1:17" s="7" customFormat="1">
      <c r="Q49" s="6"/>
    </row>
    <row r="50" spans="1:17" s="7" customFormat="1">
      <c r="Q50" s="6"/>
    </row>
    <row r="51" spans="1:17" s="7" customFormat="1">
      <c r="A51" s="113"/>
      <c r="D51" s="114"/>
      <c r="E51" s="114"/>
      <c r="F51" s="114"/>
      <c r="G51" s="114"/>
      <c r="H51" s="114"/>
      <c r="I51" s="114"/>
      <c r="J51" s="114"/>
      <c r="K51" s="6"/>
      <c r="L51" s="114"/>
      <c r="M51" s="115"/>
      <c r="N51" s="115"/>
      <c r="O51" s="116"/>
      <c r="Q51" s="6"/>
    </row>
    <row r="52" spans="1:17" s="7" customFormat="1">
      <c r="A52" s="113"/>
      <c r="D52" s="114"/>
      <c r="E52" s="114"/>
      <c r="F52" s="114"/>
      <c r="G52" s="114"/>
      <c r="H52" s="114"/>
      <c r="I52" s="114"/>
      <c r="J52" s="114"/>
      <c r="K52" s="6"/>
      <c r="L52" s="114"/>
      <c r="M52" s="115"/>
      <c r="N52" s="115"/>
      <c r="O52" s="116"/>
      <c r="Q52" s="6"/>
    </row>
    <row r="53" spans="1:17" s="7" customFormat="1">
      <c r="A53" s="113"/>
      <c r="D53" s="114"/>
      <c r="E53" s="114"/>
      <c r="F53" s="114"/>
      <c r="G53" s="114"/>
      <c r="H53" s="114"/>
      <c r="I53" s="114"/>
      <c r="J53" s="114"/>
      <c r="K53" s="6"/>
      <c r="L53" s="114"/>
      <c r="M53" s="115"/>
      <c r="N53" s="115"/>
      <c r="O53" s="116"/>
      <c r="Q53" s="6"/>
    </row>
    <row r="54" spans="1:17" s="7" customFormat="1">
      <c r="A54" s="113"/>
      <c r="D54" s="114"/>
      <c r="E54" s="114"/>
      <c r="F54" s="114"/>
      <c r="G54" s="114"/>
      <c r="H54" s="114"/>
      <c r="I54" s="114"/>
      <c r="J54" s="114"/>
      <c r="K54" s="6"/>
      <c r="L54" s="114"/>
      <c r="M54" s="115"/>
      <c r="N54" s="115"/>
      <c r="O54" s="116"/>
      <c r="Q54" s="6"/>
    </row>
    <row r="55" spans="1:17" s="7" customFormat="1">
      <c r="A55" s="113"/>
      <c r="D55" s="114"/>
      <c r="E55" s="114"/>
      <c r="F55" s="114"/>
      <c r="G55" s="114"/>
      <c r="H55" s="114"/>
      <c r="I55" s="114"/>
      <c r="J55" s="114"/>
      <c r="K55" s="6"/>
      <c r="L55" s="114"/>
      <c r="M55" s="115"/>
      <c r="N55" s="115"/>
      <c r="O55" s="116"/>
      <c r="Q55" s="6"/>
    </row>
    <row r="56" spans="1:17" s="7" customFormat="1">
      <c r="A56" s="113"/>
      <c r="D56" s="114"/>
      <c r="E56" s="114"/>
      <c r="F56" s="114"/>
      <c r="G56" s="114"/>
      <c r="H56" s="114"/>
      <c r="I56" s="114"/>
      <c r="J56" s="114"/>
      <c r="K56" s="6"/>
      <c r="L56" s="114"/>
      <c r="M56" s="115"/>
      <c r="N56" s="115"/>
      <c r="O56" s="116"/>
      <c r="Q56" s="6"/>
    </row>
    <row r="57" spans="1:17" s="7" customFormat="1">
      <c r="A57" s="113"/>
      <c r="D57" s="114"/>
      <c r="E57" s="114"/>
      <c r="F57" s="114"/>
      <c r="G57" s="114"/>
      <c r="H57" s="114"/>
      <c r="I57" s="114"/>
      <c r="J57" s="114"/>
      <c r="K57" s="6"/>
      <c r="L57" s="114"/>
      <c r="M57" s="115"/>
      <c r="N57" s="115"/>
      <c r="O57" s="116"/>
      <c r="Q57" s="6"/>
    </row>
    <row r="58" spans="1:17" s="7" customFormat="1">
      <c r="A58" s="113"/>
      <c r="D58" s="114"/>
      <c r="E58" s="114"/>
      <c r="F58" s="114"/>
      <c r="G58" s="114"/>
      <c r="H58" s="114"/>
      <c r="I58" s="114"/>
      <c r="J58" s="114"/>
      <c r="K58" s="6"/>
      <c r="L58" s="114"/>
      <c r="M58" s="115"/>
      <c r="N58" s="115"/>
      <c r="O58" s="116"/>
      <c r="Q58" s="6"/>
    </row>
    <row r="59" spans="1:17" s="7" customFormat="1">
      <c r="A59" s="113"/>
      <c r="D59" s="114"/>
      <c r="E59" s="114"/>
      <c r="F59" s="114"/>
      <c r="G59" s="114"/>
      <c r="H59" s="114"/>
      <c r="I59" s="114"/>
      <c r="J59" s="114"/>
      <c r="K59" s="6"/>
      <c r="L59" s="114"/>
      <c r="M59" s="115"/>
      <c r="N59" s="115"/>
      <c r="O59" s="116"/>
      <c r="Q59" s="6"/>
    </row>
    <row r="60" spans="1:17" s="7" customFormat="1">
      <c r="A60" s="113"/>
      <c r="D60" s="114"/>
      <c r="E60" s="114"/>
      <c r="F60" s="114"/>
      <c r="G60" s="114"/>
      <c r="H60" s="114"/>
      <c r="I60" s="114"/>
      <c r="J60" s="114"/>
      <c r="K60" s="6"/>
      <c r="L60" s="114"/>
      <c r="M60" s="115"/>
      <c r="N60" s="115"/>
      <c r="O60" s="116"/>
      <c r="Q60" s="6"/>
    </row>
    <row r="61" spans="1:17" s="7" customFormat="1">
      <c r="A61" s="113"/>
      <c r="D61" s="114"/>
      <c r="E61" s="114"/>
      <c r="F61" s="114"/>
      <c r="G61" s="114"/>
      <c r="H61" s="114"/>
      <c r="I61" s="114"/>
      <c r="J61" s="114"/>
      <c r="K61" s="6"/>
      <c r="L61" s="114"/>
      <c r="M61" s="115"/>
      <c r="N61" s="115"/>
      <c r="O61" s="116"/>
      <c r="Q61" s="6"/>
    </row>
    <row r="62" spans="1:17" s="7" customFormat="1">
      <c r="A62" s="113"/>
      <c r="D62" s="114"/>
      <c r="E62" s="114"/>
      <c r="F62" s="114"/>
      <c r="G62" s="114"/>
      <c r="H62" s="114"/>
      <c r="I62" s="114"/>
      <c r="J62" s="114"/>
      <c r="K62" s="6"/>
      <c r="L62" s="114"/>
      <c r="M62" s="115"/>
      <c r="N62" s="115"/>
      <c r="O62" s="116"/>
      <c r="Q62" s="6"/>
    </row>
    <row r="63" spans="1:17" s="7" customFormat="1">
      <c r="A63" s="113"/>
      <c r="D63" s="114"/>
      <c r="E63" s="114"/>
      <c r="F63" s="114"/>
      <c r="G63" s="114"/>
      <c r="H63" s="114"/>
      <c r="I63" s="114"/>
      <c r="J63" s="114"/>
      <c r="K63" s="6"/>
      <c r="L63" s="114"/>
      <c r="M63" s="115"/>
      <c r="N63" s="115"/>
      <c r="O63" s="116"/>
      <c r="Q63" s="6"/>
    </row>
    <row r="64" spans="1:17" s="7" customFormat="1">
      <c r="A64" s="113"/>
      <c r="D64" s="114"/>
      <c r="E64" s="114"/>
      <c r="F64" s="114"/>
      <c r="G64" s="114"/>
      <c r="H64" s="114"/>
      <c r="I64" s="114"/>
      <c r="J64" s="114"/>
      <c r="K64" s="6"/>
      <c r="L64" s="114"/>
      <c r="M64" s="115"/>
      <c r="N64" s="115"/>
      <c r="O64" s="116"/>
      <c r="Q64" s="6"/>
    </row>
    <row r="65" spans="1:17" s="7" customFormat="1">
      <c r="A65" s="113"/>
      <c r="D65" s="114"/>
      <c r="E65" s="114"/>
      <c r="F65" s="114"/>
      <c r="G65" s="114"/>
      <c r="H65" s="114"/>
      <c r="I65" s="114"/>
      <c r="J65" s="114"/>
      <c r="K65" s="6"/>
      <c r="L65" s="114"/>
      <c r="M65" s="115"/>
      <c r="N65" s="115"/>
      <c r="O65" s="116"/>
      <c r="Q65" s="6"/>
    </row>
    <row r="66" spans="1:17" s="7" customFormat="1">
      <c r="A66" s="113"/>
      <c r="D66" s="114"/>
      <c r="E66" s="114"/>
      <c r="F66" s="114"/>
      <c r="G66" s="114"/>
      <c r="H66" s="114"/>
      <c r="I66" s="114"/>
      <c r="J66" s="114"/>
      <c r="K66" s="6"/>
      <c r="L66" s="114"/>
      <c r="M66" s="115"/>
      <c r="N66" s="115"/>
      <c r="O66" s="116"/>
      <c r="Q66" s="6"/>
    </row>
    <row r="67" spans="1:17" s="7" customFormat="1">
      <c r="A67" s="113"/>
      <c r="D67" s="114"/>
      <c r="E67" s="114"/>
      <c r="F67" s="114"/>
      <c r="G67" s="114"/>
      <c r="H67" s="114"/>
      <c r="I67" s="114"/>
      <c r="J67" s="114"/>
      <c r="K67" s="6"/>
      <c r="L67" s="114"/>
      <c r="M67" s="115"/>
      <c r="N67" s="115"/>
      <c r="O67" s="116"/>
      <c r="Q67" s="6"/>
    </row>
    <row r="68" spans="1:17" s="7" customFormat="1">
      <c r="A68" s="113"/>
      <c r="D68" s="114"/>
      <c r="E68" s="114"/>
      <c r="F68" s="114"/>
      <c r="G68" s="114"/>
      <c r="H68" s="114"/>
      <c r="I68" s="114"/>
      <c r="J68" s="114"/>
      <c r="K68" s="6"/>
      <c r="L68" s="114"/>
      <c r="M68" s="115"/>
      <c r="N68" s="115"/>
      <c r="O68" s="116"/>
      <c r="Q68" s="6"/>
    </row>
    <row r="69" spans="1:17" s="7" customFormat="1">
      <c r="A69" s="113"/>
      <c r="D69" s="114"/>
      <c r="E69" s="114"/>
      <c r="F69" s="114"/>
      <c r="G69" s="114"/>
      <c r="H69" s="114"/>
      <c r="I69" s="114"/>
      <c r="J69" s="114"/>
      <c r="K69" s="6"/>
      <c r="L69" s="114"/>
      <c r="M69" s="115"/>
      <c r="N69" s="115"/>
      <c r="O69" s="116"/>
      <c r="Q69" s="6"/>
    </row>
    <row r="70" spans="1:17" s="7" customFormat="1">
      <c r="A70" s="113"/>
      <c r="D70" s="114"/>
      <c r="E70" s="114"/>
      <c r="F70" s="114"/>
      <c r="G70" s="114"/>
      <c r="H70" s="114"/>
      <c r="I70" s="114"/>
      <c r="J70" s="114"/>
      <c r="K70" s="6"/>
      <c r="L70" s="114"/>
      <c r="M70" s="115"/>
      <c r="N70" s="115"/>
      <c r="O70" s="116"/>
      <c r="Q70" s="6"/>
    </row>
    <row r="71" spans="1:17" s="7" customFormat="1">
      <c r="A71" s="113"/>
      <c r="D71" s="114"/>
      <c r="E71" s="114"/>
      <c r="F71" s="114"/>
      <c r="G71" s="114"/>
      <c r="H71" s="114"/>
      <c r="I71" s="114"/>
      <c r="J71" s="114"/>
      <c r="K71" s="6"/>
      <c r="L71" s="114"/>
      <c r="M71" s="115"/>
      <c r="N71" s="115"/>
      <c r="O71" s="116"/>
      <c r="Q71" s="6"/>
    </row>
    <row r="72" spans="1:17" s="7" customFormat="1">
      <c r="A72" s="113"/>
      <c r="D72" s="114"/>
      <c r="E72" s="114"/>
      <c r="F72" s="114"/>
      <c r="G72" s="114"/>
      <c r="H72" s="114"/>
      <c r="I72" s="114"/>
      <c r="J72" s="114"/>
      <c r="K72" s="6"/>
      <c r="L72" s="114"/>
      <c r="M72" s="115"/>
      <c r="N72" s="115"/>
      <c r="O72" s="116"/>
      <c r="Q72" s="6"/>
    </row>
    <row r="73" spans="1:17" s="7" customFormat="1">
      <c r="A73" s="113"/>
      <c r="D73" s="114"/>
      <c r="E73" s="114"/>
      <c r="F73" s="114"/>
      <c r="G73" s="114"/>
      <c r="H73" s="114"/>
      <c r="I73" s="114"/>
      <c r="J73" s="114"/>
      <c r="K73" s="6"/>
      <c r="L73" s="114"/>
      <c r="M73" s="115"/>
      <c r="N73" s="115"/>
      <c r="O73" s="116"/>
      <c r="Q73" s="6"/>
    </row>
    <row r="74" spans="1:17" s="7" customFormat="1">
      <c r="A74" s="113"/>
      <c r="D74" s="114"/>
      <c r="E74" s="114"/>
      <c r="F74" s="114"/>
      <c r="G74" s="114"/>
      <c r="H74" s="114"/>
      <c r="I74" s="114"/>
      <c r="J74" s="114"/>
      <c r="K74" s="6"/>
      <c r="L74" s="114"/>
      <c r="M74" s="115"/>
      <c r="N74" s="115"/>
      <c r="O74" s="116"/>
      <c r="Q74" s="6"/>
    </row>
    <row r="75" spans="1:17" s="7" customFormat="1">
      <c r="A75" s="113"/>
      <c r="D75" s="114"/>
      <c r="E75" s="114"/>
      <c r="F75" s="114"/>
      <c r="G75" s="114"/>
      <c r="H75" s="114"/>
      <c r="I75" s="114"/>
      <c r="J75" s="114"/>
      <c r="K75" s="6"/>
      <c r="L75" s="114"/>
      <c r="M75" s="115"/>
      <c r="N75" s="115"/>
      <c r="O75" s="116"/>
      <c r="Q75" s="6"/>
    </row>
    <row r="76" spans="1:17" s="7" customFormat="1">
      <c r="A76" s="113"/>
      <c r="D76" s="114"/>
      <c r="E76" s="114"/>
      <c r="F76" s="114"/>
      <c r="G76" s="114"/>
      <c r="H76" s="114"/>
      <c r="I76" s="114"/>
      <c r="J76" s="114"/>
      <c r="K76" s="6"/>
      <c r="L76" s="114"/>
      <c r="M76" s="115"/>
      <c r="N76" s="115"/>
      <c r="O76" s="116"/>
      <c r="Q76" s="6"/>
    </row>
    <row r="77" spans="1:17" s="7" customFormat="1">
      <c r="A77" s="113"/>
      <c r="D77" s="114"/>
      <c r="E77" s="114"/>
      <c r="F77" s="114"/>
      <c r="G77" s="114"/>
      <c r="H77" s="114"/>
      <c r="I77" s="114"/>
      <c r="J77" s="114"/>
      <c r="K77" s="6"/>
      <c r="L77" s="114"/>
      <c r="M77" s="115"/>
      <c r="N77" s="115"/>
      <c r="O77" s="116"/>
      <c r="Q77" s="6"/>
    </row>
    <row r="78" spans="1:17" s="7" customFormat="1">
      <c r="A78" s="113"/>
      <c r="D78" s="114"/>
      <c r="E78" s="114"/>
      <c r="F78" s="114"/>
      <c r="G78" s="114"/>
      <c r="H78" s="114"/>
      <c r="I78" s="114"/>
      <c r="J78" s="114"/>
      <c r="K78" s="6"/>
      <c r="L78" s="114"/>
      <c r="M78" s="115"/>
      <c r="N78" s="115"/>
      <c r="O78" s="116"/>
      <c r="Q78" s="6"/>
    </row>
    <row r="79" spans="1:17" s="7" customFormat="1">
      <c r="A79" s="113"/>
      <c r="D79" s="114"/>
      <c r="E79" s="114"/>
      <c r="F79" s="114"/>
      <c r="G79" s="114"/>
      <c r="H79" s="114"/>
      <c r="I79" s="114"/>
      <c r="J79" s="114"/>
      <c r="K79" s="6"/>
      <c r="L79" s="114"/>
      <c r="M79" s="115"/>
      <c r="N79" s="115"/>
      <c r="O79" s="116"/>
      <c r="Q79" s="6"/>
    </row>
    <row r="80" spans="1:17" s="7" customFormat="1">
      <c r="A80" s="113"/>
      <c r="D80" s="114"/>
      <c r="E80" s="114"/>
      <c r="F80" s="114"/>
      <c r="G80" s="114"/>
      <c r="H80" s="114"/>
      <c r="I80" s="114"/>
      <c r="J80" s="114"/>
      <c r="K80" s="6"/>
      <c r="L80" s="114"/>
      <c r="M80" s="115"/>
      <c r="N80" s="115"/>
      <c r="O80" s="116"/>
      <c r="Q80" s="6"/>
    </row>
    <row r="81" spans="1:17" s="7" customFormat="1">
      <c r="A81" s="113"/>
      <c r="D81" s="114"/>
      <c r="E81" s="114"/>
      <c r="F81" s="114"/>
      <c r="G81" s="114"/>
      <c r="H81" s="114"/>
      <c r="I81" s="114"/>
      <c r="J81" s="114"/>
      <c r="K81" s="6"/>
      <c r="L81" s="114"/>
      <c r="M81" s="115"/>
      <c r="N81" s="115"/>
      <c r="O81" s="116"/>
      <c r="Q81" s="6"/>
    </row>
    <row r="82" spans="1:17" s="7" customFormat="1">
      <c r="A82" s="113"/>
      <c r="D82" s="114"/>
      <c r="E82" s="114"/>
      <c r="F82" s="114"/>
      <c r="G82" s="114"/>
      <c r="H82" s="114"/>
      <c r="I82" s="114"/>
      <c r="J82" s="114"/>
      <c r="K82" s="6"/>
      <c r="L82" s="114"/>
      <c r="M82" s="115"/>
      <c r="N82" s="115"/>
      <c r="O82" s="116"/>
      <c r="Q82" s="6"/>
    </row>
    <row r="83" spans="1:17" s="7" customFormat="1">
      <c r="A83" s="113"/>
      <c r="D83" s="114"/>
      <c r="E83" s="114"/>
      <c r="F83" s="114"/>
      <c r="G83" s="114"/>
      <c r="H83" s="114"/>
      <c r="I83" s="114"/>
      <c r="J83" s="114"/>
      <c r="K83" s="6"/>
      <c r="L83" s="114"/>
      <c r="M83" s="115"/>
      <c r="N83" s="115"/>
      <c r="O83" s="116"/>
      <c r="Q83" s="6"/>
    </row>
    <row r="84" spans="1:17" s="7" customFormat="1">
      <c r="A84" s="113"/>
      <c r="D84" s="114"/>
      <c r="E84" s="114"/>
      <c r="F84" s="114"/>
      <c r="G84" s="114"/>
      <c r="H84" s="114"/>
      <c r="I84" s="114"/>
      <c r="J84" s="114"/>
      <c r="K84" s="6"/>
      <c r="L84" s="114"/>
      <c r="M84" s="115"/>
      <c r="N84" s="115"/>
      <c r="O84" s="116"/>
      <c r="Q84" s="6"/>
    </row>
    <row r="85" spans="1:17" s="7" customFormat="1">
      <c r="A85" s="113"/>
      <c r="D85" s="114"/>
      <c r="E85" s="114"/>
      <c r="F85" s="114"/>
      <c r="G85" s="114"/>
      <c r="H85" s="114"/>
      <c r="I85" s="114"/>
      <c r="J85" s="114"/>
      <c r="K85" s="6"/>
      <c r="L85" s="114"/>
      <c r="M85" s="115"/>
      <c r="N85" s="115"/>
      <c r="O85" s="116"/>
      <c r="Q85" s="6"/>
    </row>
    <row r="86" spans="1:17" s="7" customFormat="1">
      <c r="A86" s="113"/>
      <c r="D86" s="114"/>
      <c r="E86" s="114"/>
      <c r="F86" s="114"/>
      <c r="G86" s="114"/>
      <c r="H86" s="114"/>
      <c r="I86" s="114"/>
      <c r="J86" s="114"/>
      <c r="K86" s="6"/>
      <c r="L86" s="114"/>
      <c r="M86" s="115"/>
      <c r="N86" s="115"/>
      <c r="O86" s="116"/>
      <c r="Q86" s="6"/>
    </row>
    <row r="87" spans="1:17" s="7" customFormat="1">
      <c r="A87" s="113"/>
      <c r="D87" s="114"/>
      <c r="E87" s="114"/>
      <c r="F87" s="114"/>
      <c r="G87" s="114"/>
      <c r="H87" s="114"/>
      <c r="I87" s="114"/>
      <c r="J87" s="114"/>
      <c r="K87" s="6"/>
      <c r="L87" s="114"/>
      <c r="M87" s="115"/>
      <c r="N87" s="115"/>
      <c r="O87" s="116"/>
      <c r="Q87" s="6"/>
    </row>
    <row r="88" spans="1:17" s="7" customFormat="1">
      <c r="A88" s="113"/>
      <c r="D88" s="114"/>
      <c r="E88" s="114"/>
      <c r="F88" s="114"/>
      <c r="G88" s="114"/>
      <c r="H88" s="114"/>
      <c r="I88" s="114"/>
      <c r="J88" s="114"/>
      <c r="K88" s="6"/>
      <c r="L88" s="114"/>
      <c r="M88" s="115"/>
      <c r="N88" s="115"/>
      <c r="O88" s="116"/>
      <c r="Q88" s="6"/>
    </row>
    <row r="89" spans="1:17" s="7" customFormat="1">
      <c r="A89" s="113"/>
      <c r="D89" s="114"/>
      <c r="E89" s="114"/>
      <c r="F89" s="114"/>
      <c r="G89" s="114"/>
      <c r="H89" s="114"/>
      <c r="I89" s="114"/>
      <c r="J89" s="114"/>
      <c r="K89" s="6"/>
      <c r="L89" s="114"/>
      <c r="M89" s="115"/>
      <c r="N89" s="115"/>
      <c r="O89" s="116"/>
      <c r="Q89" s="6"/>
    </row>
    <row r="90" spans="1:17" s="7" customFormat="1">
      <c r="A90" s="113"/>
      <c r="D90" s="114"/>
      <c r="E90" s="114"/>
      <c r="F90" s="114"/>
      <c r="G90" s="114"/>
      <c r="H90" s="114"/>
      <c r="I90" s="114"/>
      <c r="J90" s="114"/>
      <c r="K90" s="6"/>
      <c r="L90" s="114"/>
      <c r="M90" s="115"/>
      <c r="N90" s="115"/>
      <c r="O90" s="116"/>
      <c r="Q90" s="6"/>
    </row>
    <row r="91" spans="1:17" s="7" customFormat="1">
      <c r="A91" s="113"/>
      <c r="D91" s="114"/>
      <c r="E91" s="114"/>
      <c r="F91" s="114"/>
      <c r="G91" s="114"/>
      <c r="H91" s="114"/>
      <c r="I91" s="114"/>
      <c r="J91" s="114"/>
      <c r="K91" s="6"/>
      <c r="L91" s="114"/>
      <c r="M91" s="115"/>
      <c r="N91" s="115"/>
      <c r="O91" s="116"/>
      <c r="Q91" s="6"/>
    </row>
    <row r="92" spans="1:17" s="7" customFormat="1">
      <c r="A92" s="113"/>
      <c r="D92" s="114"/>
      <c r="E92" s="114"/>
      <c r="F92" s="114"/>
      <c r="G92" s="114"/>
      <c r="H92" s="114"/>
      <c r="I92" s="114"/>
      <c r="J92" s="114"/>
      <c r="K92" s="6"/>
      <c r="L92" s="114"/>
      <c r="M92" s="115"/>
      <c r="N92" s="115"/>
      <c r="O92" s="116"/>
      <c r="Q92" s="6"/>
    </row>
    <row r="93" spans="1:17" s="7" customFormat="1">
      <c r="A93" s="113"/>
      <c r="D93" s="114"/>
      <c r="E93" s="114"/>
      <c r="F93" s="114"/>
      <c r="G93" s="114"/>
      <c r="H93" s="114"/>
      <c r="I93" s="114"/>
      <c r="J93" s="114"/>
      <c r="K93" s="6"/>
      <c r="L93" s="114"/>
      <c r="M93" s="115"/>
      <c r="N93" s="115"/>
      <c r="O93" s="116"/>
      <c r="Q93" s="6"/>
    </row>
    <row r="94" spans="1:17" s="7" customFormat="1">
      <c r="A94" s="113"/>
      <c r="D94" s="114"/>
      <c r="E94" s="114"/>
      <c r="F94" s="114"/>
      <c r="G94" s="114"/>
      <c r="H94" s="114"/>
      <c r="I94" s="114"/>
      <c r="J94" s="114"/>
      <c r="K94" s="6"/>
      <c r="L94" s="114"/>
      <c r="M94" s="115"/>
      <c r="N94" s="115"/>
      <c r="O94" s="116"/>
      <c r="Q94" s="6"/>
    </row>
    <row r="95" spans="1:17" s="7" customFormat="1">
      <c r="A95" s="113"/>
      <c r="D95" s="114"/>
      <c r="E95" s="114"/>
      <c r="F95" s="114"/>
      <c r="G95" s="114"/>
      <c r="H95" s="114"/>
      <c r="I95" s="114"/>
      <c r="J95" s="114"/>
      <c r="K95" s="6"/>
      <c r="L95" s="114"/>
      <c r="M95" s="115"/>
      <c r="N95" s="115"/>
      <c r="O95" s="116"/>
      <c r="Q95" s="6"/>
    </row>
    <row r="96" spans="1:17" s="7" customFormat="1">
      <c r="A96" s="113"/>
      <c r="D96" s="114"/>
      <c r="E96" s="114"/>
      <c r="F96" s="114"/>
      <c r="G96" s="114"/>
      <c r="H96" s="114"/>
      <c r="I96" s="114"/>
      <c r="J96" s="114"/>
      <c r="K96" s="6"/>
      <c r="L96" s="114"/>
      <c r="M96" s="115"/>
      <c r="N96" s="115"/>
      <c r="O96" s="116"/>
      <c r="Q96" s="6"/>
    </row>
    <row r="97" spans="1:17" s="7" customFormat="1">
      <c r="A97" s="113"/>
      <c r="D97" s="114"/>
      <c r="E97" s="114"/>
      <c r="F97" s="114"/>
      <c r="G97" s="114"/>
      <c r="H97" s="114"/>
      <c r="I97" s="114"/>
      <c r="J97" s="114"/>
      <c r="K97" s="6"/>
      <c r="L97" s="114"/>
      <c r="M97" s="115"/>
      <c r="N97" s="115"/>
      <c r="O97" s="116"/>
      <c r="Q97" s="6"/>
    </row>
    <row r="98" spans="1:17" s="7" customFormat="1">
      <c r="A98" s="113"/>
      <c r="D98" s="114"/>
      <c r="E98" s="114"/>
      <c r="F98" s="114"/>
      <c r="G98" s="114"/>
      <c r="H98" s="114"/>
      <c r="I98" s="114"/>
      <c r="J98" s="114"/>
      <c r="K98" s="6"/>
      <c r="L98" s="114"/>
      <c r="M98" s="115"/>
      <c r="N98" s="115"/>
      <c r="O98" s="116"/>
      <c r="Q98" s="6"/>
    </row>
    <row r="99" spans="1:17" s="7" customFormat="1">
      <c r="A99" s="113"/>
      <c r="D99" s="114"/>
      <c r="E99" s="114"/>
      <c r="F99" s="114"/>
      <c r="G99" s="114"/>
      <c r="H99" s="114"/>
      <c r="I99" s="114"/>
      <c r="J99" s="114"/>
      <c r="K99" s="6"/>
      <c r="L99" s="114"/>
      <c r="M99" s="115"/>
      <c r="N99" s="115"/>
      <c r="O99" s="116"/>
      <c r="Q99" s="6"/>
    </row>
  </sheetData>
  <sheetProtection password="CEE3" sheet="1" objects="1" scenarios="1"/>
  <mergeCells count="31">
    <mergeCell ref="C3:F3"/>
    <mergeCell ref="K3:L3"/>
    <mergeCell ref="C5:F5"/>
    <mergeCell ref="K5:L5"/>
    <mergeCell ref="C7:F7"/>
    <mergeCell ref="G7:L7"/>
    <mergeCell ref="G27:I27"/>
    <mergeCell ref="C9:F9"/>
    <mergeCell ref="G9:L9"/>
    <mergeCell ref="C11:F11"/>
    <mergeCell ref="G11:L11"/>
    <mergeCell ref="C13:F13"/>
    <mergeCell ref="G13:L13"/>
    <mergeCell ref="C15:F15"/>
    <mergeCell ref="G15:L15"/>
    <mergeCell ref="C17:F17"/>
    <mergeCell ref="G17:L17"/>
    <mergeCell ref="G26:I26"/>
    <mergeCell ref="H19:J19"/>
    <mergeCell ref="K19:M19"/>
    <mergeCell ref="H21:J21"/>
    <mergeCell ref="K21:M21"/>
    <mergeCell ref="G34:I34"/>
    <mergeCell ref="G35:I35"/>
    <mergeCell ref="G36:I36"/>
    <mergeCell ref="G28:I28"/>
    <mergeCell ref="G29:I29"/>
    <mergeCell ref="G30:I30"/>
    <mergeCell ref="G31:I31"/>
    <mergeCell ref="G32:I32"/>
    <mergeCell ref="G33:I33"/>
  </mergeCells>
  <conditionalFormatting sqref="G31:I35">
    <cfRule type="expression" dxfId="31" priority="5">
      <formula>$J31=""</formula>
    </cfRule>
  </conditionalFormatting>
  <conditionalFormatting sqref="M13 M11">
    <cfRule type="expression" dxfId="30" priority="4">
      <formula>AND($M$11&lt;&gt;"-",$M$13&lt;&gt;"-")</formula>
    </cfRule>
  </conditionalFormatting>
  <conditionalFormatting sqref="M15">
    <cfRule type="expression" dxfId="29" priority="3">
      <formula>AND($M$11&lt;&gt;"-",$M$15&lt;&gt;"-")</formula>
    </cfRule>
  </conditionalFormatting>
  <conditionalFormatting sqref="G26:I26">
    <cfRule type="expression" dxfId="28" priority="6">
      <formula>$F26="000.000.000"</formula>
    </cfRule>
  </conditionalFormatting>
  <dataValidations count="12">
    <dataValidation type="list" allowBlank="1" showInputMessage="1" showErrorMessage="1" errorTitle="Внимание!" error="Значение должно быть кратно 10 мм" sqref="M7">
      <formula1>ЦветМП</formula1>
    </dataValidation>
    <dataValidation type="list" allowBlank="1" showInputMessage="1" showErrorMessage="1" sqref="M9">
      <formula1>обУгол</formula1>
    </dataValidation>
    <dataValidation type="list" allowBlank="1" showInputMessage="1" showErrorMessage="1" errorTitle="Внимание!" error="Значение должно быть кратно 10 мм" sqref="M17">
      <formula1>FlagYN</formula1>
    </dataValidation>
    <dataValidation allowBlank="1" showInputMessage="1" showErrorMessage="1" errorTitle="Внимание!" error="Значение должно быть кратно 10 мм" sqref="I10 I4 G5 K20 M18"/>
    <dataValidation type="list" allowBlank="1" showInputMessage="1" showErrorMessage="1" sqref="M11 M13 M15">
      <formula1>FlagYN</formula1>
    </dataValidation>
    <dataValidation type="list" allowBlank="1" showInputMessage="1" showErrorMessage="1" errorTitle="Внимание!" error="Значение должно быть кратно 10 мм" sqref="I5">
      <formula1>ВысотаФ_FFH15</formula1>
    </dataValidation>
    <dataValidation type="list" allowBlank="1" showInputMessage="1" showErrorMessage="1" sqref="G3">
      <formula1>МатериалФ</formula1>
    </dataValidation>
    <dataValidation type="list" allowBlank="1" showInputMessage="1" showErrorMessage="1" sqref="M3">
      <formula1>ТолщинаФ</formula1>
    </dataValidation>
    <dataValidation type="list" allowBlank="1" showInputMessage="1" showErrorMessage="1" errorTitle="Внимание!" error="Значение должно быть кратно 10 мм" sqref="I22 I6 I12 I8 I14 I16">
      <formula1>ВысотаФ</formula1>
    </dataValidation>
    <dataValidation type="list" allowBlank="1" showInputMessage="1" showErrorMessage="1" errorTitle="Внимание!" error="Значение должно быть кратно 50" sqref="I3">
      <formula1>ШиринаФ</formula1>
    </dataValidation>
    <dataValidation type="list" allowBlank="1" showInputMessage="1" showErrorMessage="1" sqref="K21:M21">
      <formula1>СПР_Толкатель</formula1>
    </dataValidation>
    <dataValidation type="decimal" allowBlank="1" showInputMessage="1" showErrorMessage="1" sqref="M26:M36">
      <formula1>0</formula1>
      <formula2>1000000</formula2>
    </dataValidation>
  </dataValidations>
  <pageMargins left="0.7" right="0.7" top="0.75" bottom="0.75" header="0.3" footer="0.3"/>
  <drawing r:id="rId1"/>
  <extLst xmlns:xr="http://schemas.microsoft.com/office/spreadsheetml/2014/revision"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2" id="{EF5F26B3-E0EF-4AD1-80A2-A117AB7C8980}">
            <xm:f>FreeFlap!$K$7=Справ!$I$22</xm:f>
            <x14:dxf>
              <fill>
                <patternFill>
                  <bgColor rgb="FFFFFF00"/>
                </patternFill>
              </fill>
            </x14:dxf>
          </x14:cfRule>
          <xm:sqref>K19:M19</xm:sqref>
        </x14:conditionalFormatting>
        <x14:conditionalFormatting xmlns:xm="http://schemas.microsoft.com/office/excel/2006/main">
          <x14:cfRule type="expression" priority="183" id="{293B96C5-DBEF-4AF5-93BB-17A393578E19}">
            <xm:f>FreeFlap!$K$7=Справ!$I$21</xm:f>
            <x14:dxf>
              <font>
                <color theme="3" tint="0.39994506668294322"/>
              </font>
              <fill>
                <patternFill>
                  <bgColor theme="4" tint="0.59996337778862885"/>
                </patternFill>
              </fill>
            </x14:dxf>
          </x14:cfRule>
          <xm:sqref>K21:M21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Внимание!" error="Значение должно быть кратно 10 мм" xr:uid="{00000000-0002-0000-0600-00000C000000}">
          <x14:formula1>
            <xm:f>Справ!$I$21:$I$22</xm:f>
          </x14:formula1>
          <xm:sqref>K19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/>
  <dimension ref="A1:AD45"/>
  <sheetViews>
    <sheetView workbookViewId="0">
      <selection activeCell="D5" sqref="D5"/>
    </sheetView>
  </sheetViews>
  <sheetFormatPr defaultColWidth="9.140625" defaultRowHeight="15"/>
  <cols>
    <col min="1" max="1" width="2.42578125" style="269" customWidth="1"/>
    <col min="2" max="2" width="2.28515625" style="147" customWidth="1"/>
    <col min="3" max="3" width="17.42578125" style="147" customWidth="1"/>
    <col min="4" max="4" width="15.7109375" style="147" customWidth="1"/>
    <col min="5" max="5" width="2.5703125" style="147" customWidth="1"/>
    <col min="6" max="6" width="3.85546875" style="269" customWidth="1"/>
    <col min="7" max="7" width="2.42578125" style="269" customWidth="1"/>
    <col min="8" max="8" width="11.7109375" style="269" customWidth="1"/>
    <col min="9" max="9" width="40.42578125" style="269" customWidth="1"/>
    <col min="10" max="10" width="50" style="269" customWidth="1"/>
    <col min="11" max="11" width="2.140625" style="269" customWidth="1"/>
    <col min="12" max="12" width="3" style="269" customWidth="1"/>
    <col min="13" max="13" width="83" style="269" customWidth="1"/>
    <col min="14" max="22" width="45.140625" style="269" customWidth="1"/>
    <col min="23" max="23" width="50" style="269" customWidth="1"/>
    <col min="24" max="24" width="54.42578125" style="269" customWidth="1"/>
    <col min="25" max="25" width="45.7109375" style="269" customWidth="1"/>
    <col min="26" max="26" width="40.5703125" style="269" customWidth="1"/>
    <col min="27" max="27" width="53.7109375" style="147" customWidth="1"/>
    <col min="28" max="16384" width="9.140625" style="9"/>
  </cols>
  <sheetData>
    <row r="1" spans="1:30" ht="15.75" thickBot="1">
      <c r="B1" s="269"/>
      <c r="C1" s="269"/>
      <c r="D1" s="269"/>
      <c r="E1" s="269"/>
      <c r="AA1" s="269"/>
      <c r="AB1" s="176"/>
      <c r="AC1" s="176"/>
      <c r="AD1" s="176"/>
    </row>
    <row r="2" spans="1:30">
      <c r="B2" s="270"/>
      <c r="C2" s="271"/>
      <c r="D2" s="271"/>
      <c r="E2" s="272"/>
      <c r="G2" s="304"/>
      <c r="H2" s="305"/>
      <c r="I2" s="305"/>
      <c r="J2" s="305"/>
      <c r="K2" s="305"/>
      <c r="L2" s="301"/>
      <c r="AA2" s="269"/>
      <c r="AB2" s="176"/>
      <c r="AC2" s="176"/>
      <c r="AD2" s="176"/>
    </row>
    <row r="3" spans="1:30" ht="18.75">
      <c r="B3" s="273"/>
      <c r="C3" s="274"/>
      <c r="D3" s="339">
        <f ca="1">IF(J3=Цены!M16,INDEX(Цены!$M$1:$M$6,MATCH(SUMIF(Цены!$O$1:$O$6,"&gt;0",Цены!$O$1:$O$6),Цены!$O$1:$O$6,1),1),NOW())</f>
        <v>44720.526655324073</v>
      </c>
      <c r="E3" s="275"/>
      <c r="G3" s="306"/>
      <c r="H3" s="276"/>
      <c r="I3" s="284" t="s">
        <v>407</v>
      </c>
      <c r="J3" s="277" t="str">
        <f ca="1">IF(AND(Цены!D1&lt;&gt;0,I3=Цены!$M$12),Цены!M16,Цены!M17)</f>
        <v>Обновление  через интернет не осущественно</v>
      </c>
      <c r="K3" s="277"/>
      <c r="L3" s="302"/>
      <c r="AA3" s="269"/>
      <c r="AB3" s="176"/>
      <c r="AC3" s="176"/>
      <c r="AD3" s="176"/>
    </row>
    <row r="4" spans="1:30" ht="21" customHeight="1">
      <c r="B4" s="273"/>
      <c r="C4" s="274" t="s">
        <v>405</v>
      </c>
      <c r="D4" s="278">
        <f ca="1">IF(КУРСЕ&gt;0,КУРСЕ,IF($I$4&gt;0,$I$4,0))</f>
        <v>70.3</v>
      </c>
      <c r="E4" s="275"/>
      <c r="G4" s="306"/>
      <c r="H4" s="276" t="s">
        <v>404</v>
      </c>
      <c r="I4" s="279">
        <v>70.3</v>
      </c>
      <c r="J4" s="280" t="str">
        <f>IF(I3=Цены!M11,"&lt;==  Введите курс Евро самостоятельно","")</f>
        <v/>
      </c>
      <c r="K4" s="280"/>
      <c r="L4" s="302"/>
      <c r="AA4" s="269"/>
      <c r="AB4" s="176"/>
      <c r="AC4" s="176"/>
      <c r="AD4" s="176"/>
    </row>
    <row r="5" spans="1:30" ht="21" customHeight="1">
      <c r="B5" s="273"/>
      <c r="C5" s="274"/>
      <c r="D5" s="268" t="str">
        <f>I3</f>
        <v>Обновить через интернет</v>
      </c>
      <c r="E5" s="275"/>
      <c r="G5" s="306"/>
      <c r="H5" s="276"/>
      <c r="I5" s="277"/>
      <c r="J5" s="277"/>
      <c r="K5" s="277"/>
      <c r="L5" s="302"/>
      <c r="AA5" s="269"/>
      <c r="AB5" s="176"/>
      <c r="AC5" s="176"/>
      <c r="AD5" s="176"/>
    </row>
    <row r="6" spans="1:30" ht="15.75" thickBot="1">
      <c r="B6" s="281"/>
      <c r="C6" s="282"/>
      <c r="D6" s="282"/>
      <c r="E6" s="283"/>
      <c r="G6" s="307"/>
      <c r="H6" s="308"/>
      <c r="I6" s="308"/>
      <c r="J6" s="308"/>
      <c r="K6" s="308"/>
      <c r="L6" s="303"/>
      <c r="AA6" s="269"/>
      <c r="AB6" s="176"/>
      <c r="AC6" s="176"/>
      <c r="AD6" s="176"/>
    </row>
    <row r="7" spans="1:30" s="176" customFormat="1" ht="15.75" thickBo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</row>
    <row r="8" spans="1:30" s="176" customFormat="1">
      <c r="A8" s="269"/>
      <c r="F8" s="269"/>
      <c r="G8" s="304"/>
      <c r="H8" s="305"/>
      <c r="I8" s="305"/>
      <c r="J8" s="305"/>
      <c r="K8" s="305"/>
      <c r="L8" s="301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  <c r="Y8" s="269"/>
      <c r="Z8" s="269"/>
      <c r="AA8" s="269"/>
    </row>
    <row r="9" spans="1:30" s="176" customFormat="1" ht="18.75">
      <c r="A9" s="269"/>
      <c r="F9" s="269"/>
      <c r="G9" s="306"/>
      <c r="H9" s="309"/>
      <c r="I9" s="310"/>
      <c r="J9" s="310"/>
      <c r="K9" s="310"/>
      <c r="L9" s="302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  <c r="Y9" s="269"/>
      <c r="Z9" s="269"/>
      <c r="AA9" s="269"/>
    </row>
    <row r="10" spans="1:30" s="176" customFormat="1" ht="18.75">
      <c r="A10" s="269"/>
      <c r="F10" s="269"/>
      <c r="G10" s="312"/>
      <c r="H10" s="309"/>
      <c r="I10" s="337" t="s">
        <v>454</v>
      </c>
      <c r="J10" s="336" t="s">
        <v>455</v>
      </c>
      <c r="K10" s="310"/>
      <c r="L10" s="302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  <c r="Y10" s="269"/>
      <c r="Z10" s="269"/>
      <c r="AA10" s="269"/>
    </row>
    <row r="11" spans="1:30" s="176" customFormat="1" ht="18.75">
      <c r="A11" s="269"/>
      <c r="F11" s="269"/>
      <c r="G11" s="306"/>
      <c r="H11" s="309"/>
      <c r="I11" s="311"/>
      <c r="J11" s="311"/>
      <c r="K11" s="311"/>
      <c r="L11" s="302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69"/>
      <c r="AA11" s="269"/>
    </row>
    <row r="12" spans="1:30" s="176" customFormat="1" ht="15.75" thickBot="1">
      <c r="A12" s="269"/>
      <c r="F12" s="269"/>
      <c r="G12" s="307"/>
      <c r="H12" s="308"/>
      <c r="I12" s="308"/>
      <c r="J12" s="308"/>
      <c r="K12" s="308"/>
      <c r="L12" s="303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  <c r="Y12" s="269"/>
      <c r="Z12" s="269"/>
      <c r="AA12" s="269"/>
    </row>
    <row r="13" spans="1:30" s="176" customFormat="1">
      <c r="A13" s="269"/>
      <c r="B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  <c r="Y13" s="269"/>
      <c r="Z13" s="269"/>
      <c r="AA13" s="269"/>
    </row>
    <row r="14" spans="1:30" s="176" customFormat="1">
      <c r="A14" s="269"/>
      <c r="B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</row>
    <row r="15" spans="1:30" s="176" customForma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  <c r="Y15" s="269"/>
      <c r="Z15" s="269"/>
      <c r="AA15" s="269"/>
    </row>
    <row r="16" spans="1:30" s="176" customForma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  <c r="Y16" s="269"/>
      <c r="Z16" s="269"/>
      <c r="AA16" s="269"/>
    </row>
    <row r="17" spans="1:27" s="176" customForma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9"/>
    </row>
    <row r="18" spans="1:27" s="176" customForma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  <c r="Y18" s="269"/>
      <c r="Z18" s="269"/>
      <c r="AA18" s="269"/>
    </row>
    <row r="19" spans="1:27" s="176" customForma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  <c r="Y19" s="269"/>
      <c r="Z19" s="269"/>
      <c r="AA19" s="269"/>
    </row>
    <row r="20" spans="1:27" s="176" customForma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  <c r="Y20" s="269"/>
      <c r="Z20" s="269"/>
      <c r="AA20" s="269"/>
    </row>
    <row r="21" spans="1:27" s="176" customForma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  <c r="Y21" s="269"/>
      <c r="Z21" s="269"/>
      <c r="AA21" s="269"/>
    </row>
    <row r="22" spans="1:27" s="176" customForma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  <c r="Y22" s="269"/>
      <c r="Z22" s="269"/>
      <c r="AA22" s="269"/>
    </row>
    <row r="23" spans="1:27" s="176" customForma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  <c r="Y23" s="269"/>
      <c r="Z23" s="269"/>
      <c r="AA23" s="269"/>
    </row>
    <row r="24" spans="1:27" s="176" customForma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  <c r="Y24" s="269"/>
      <c r="Z24" s="269"/>
      <c r="AA24" s="269"/>
    </row>
    <row r="25" spans="1:27" s="176" customForma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  <c r="Y25" s="269"/>
      <c r="Z25" s="269"/>
      <c r="AA25" s="269"/>
    </row>
    <row r="26" spans="1:27" s="176" customFormat="1">
      <c r="A26" s="269"/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</row>
    <row r="27" spans="1:27" s="176" customFormat="1">
      <c r="A27" s="269"/>
      <c r="B27" s="269"/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</row>
    <row r="28" spans="1:27" s="176" customFormat="1">
      <c r="A28" s="269"/>
      <c r="B28" s="269"/>
      <c r="C28" s="269"/>
      <c r="D28" s="269"/>
      <c r="E28" s="269"/>
      <c r="F28" s="269"/>
      <c r="G28" s="269"/>
      <c r="H28" s="269"/>
      <c r="I28" s="269"/>
      <c r="J28" s="269"/>
      <c r="K28" s="269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269"/>
      <c r="AA28" s="269"/>
    </row>
    <row r="29" spans="1:27" s="176" customFormat="1">
      <c r="A29" s="269"/>
      <c r="B29" s="269"/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</row>
    <row r="30" spans="1:27" s="176" customFormat="1">
      <c r="A30" s="269"/>
      <c r="B30" s="269"/>
      <c r="C30" s="269"/>
      <c r="D30" s="269"/>
      <c r="E30" s="269"/>
      <c r="F30" s="269"/>
      <c r="G30" s="269"/>
      <c r="H30" s="269"/>
      <c r="I30" s="269"/>
      <c r="J30" s="269"/>
      <c r="K30" s="269"/>
      <c r="L30" s="269"/>
      <c r="M30" s="269"/>
      <c r="N30" s="269"/>
      <c r="O30" s="269"/>
      <c r="P30" s="269"/>
      <c r="Q30" s="269"/>
      <c r="R30" s="269"/>
      <c r="S30" s="269"/>
      <c r="T30" s="269"/>
      <c r="U30" s="269"/>
      <c r="V30" s="269"/>
      <c r="W30" s="269"/>
      <c r="X30" s="269"/>
      <c r="Y30" s="269"/>
      <c r="Z30" s="269"/>
      <c r="AA30" s="269"/>
    </row>
    <row r="31" spans="1:27" s="176" customFormat="1">
      <c r="A31" s="269"/>
      <c r="B31" s="269"/>
      <c r="C31" s="269"/>
      <c r="D31" s="269"/>
      <c r="E31" s="269"/>
      <c r="F31" s="269"/>
      <c r="G31" s="269"/>
      <c r="H31" s="269"/>
      <c r="I31" s="269"/>
      <c r="J31" s="269"/>
      <c r="K31" s="269"/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269"/>
      <c r="Z31" s="269"/>
      <c r="AA31" s="269"/>
    </row>
    <row r="32" spans="1:27" s="176" customFormat="1">
      <c r="A32" s="269"/>
      <c r="B32" s="269"/>
      <c r="C32" s="269"/>
      <c r="D32" s="269"/>
      <c r="E32" s="269"/>
      <c r="F32" s="269"/>
      <c r="G32" s="269"/>
      <c r="H32" s="269"/>
      <c r="I32" s="269"/>
      <c r="J32" s="269"/>
      <c r="K32" s="269"/>
      <c r="L32" s="269"/>
      <c r="M32" s="269"/>
      <c r="N32" s="269"/>
      <c r="O32" s="269"/>
      <c r="P32" s="269"/>
      <c r="Q32" s="269"/>
      <c r="R32" s="269"/>
      <c r="S32" s="269"/>
      <c r="T32" s="269"/>
      <c r="U32" s="269"/>
      <c r="V32" s="269"/>
      <c r="W32" s="269"/>
      <c r="X32" s="269"/>
      <c r="Y32" s="269"/>
      <c r="Z32" s="269"/>
      <c r="AA32" s="269"/>
    </row>
    <row r="33" spans="1:27" s="176" customFormat="1">
      <c r="A33" s="269"/>
      <c r="B33" s="269"/>
      <c r="C33" s="269"/>
      <c r="D33" s="269"/>
      <c r="E33" s="269"/>
      <c r="F33" s="269"/>
      <c r="G33" s="269"/>
      <c r="H33" s="269"/>
      <c r="I33" s="269"/>
      <c r="J33" s="269"/>
      <c r="K33" s="269"/>
      <c r="L33" s="269"/>
      <c r="M33" s="269"/>
      <c r="N33" s="269"/>
      <c r="O33" s="269"/>
      <c r="P33" s="269"/>
      <c r="Q33" s="269"/>
      <c r="R33" s="269"/>
      <c r="S33" s="269"/>
      <c r="T33" s="269"/>
      <c r="U33" s="269"/>
      <c r="V33" s="269"/>
      <c r="W33" s="269"/>
      <c r="X33" s="269"/>
      <c r="Y33" s="269"/>
      <c r="Z33" s="269"/>
      <c r="AA33" s="269"/>
    </row>
    <row r="34" spans="1:27" s="176" customFormat="1">
      <c r="A34" s="269"/>
      <c r="B34" s="269"/>
      <c r="C34" s="269"/>
      <c r="D34" s="269"/>
      <c r="E34" s="269"/>
      <c r="F34" s="269"/>
      <c r="G34" s="269"/>
      <c r="H34" s="269"/>
      <c r="I34" s="269"/>
      <c r="J34" s="269"/>
      <c r="K34" s="269"/>
      <c r="L34" s="269"/>
      <c r="M34" s="269"/>
      <c r="N34" s="269"/>
      <c r="O34" s="269"/>
      <c r="P34" s="269"/>
      <c r="Q34" s="269"/>
      <c r="R34" s="269"/>
      <c r="S34" s="269"/>
      <c r="T34" s="269"/>
      <c r="U34" s="269"/>
      <c r="V34" s="269"/>
      <c r="W34" s="269"/>
      <c r="X34" s="269"/>
      <c r="Y34" s="269"/>
      <c r="Z34" s="269"/>
      <c r="AA34" s="269"/>
    </row>
    <row r="35" spans="1:27" s="176" customFormat="1">
      <c r="A35" s="269"/>
      <c r="B35" s="269"/>
      <c r="C35" s="269"/>
      <c r="D35" s="269"/>
      <c r="E35" s="269"/>
      <c r="F35" s="269"/>
      <c r="G35" s="269"/>
      <c r="H35" s="269"/>
      <c r="I35" s="269"/>
      <c r="J35" s="269"/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</row>
    <row r="36" spans="1:27" s="176" customFormat="1">
      <c r="A36" s="269"/>
      <c r="B36" s="269"/>
      <c r="C36" s="269"/>
      <c r="D36" s="269"/>
      <c r="E36" s="269"/>
      <c r="F36" s="269"/>
      <c r="G36" s="269"/>
      <c r="H36" s="269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</row>
    <row r="37" spans="1:27" s="176" customFormat="1">
      <c r="A37" s="269"/>
      <c r="B37" s="269"/>
      <c r="C37" s="269"/>
      <c r="D37" s="269"/>
      <c r="E37" s="269"/>
      <c r="F37" s="269"/>
      <c r="G37" s="269"/>
      <c r="H37" s="269"/>
      <c r="I37" s="269"/>
      <c r="J37" s="269"/>
      <c r="K37" s="269"/>
      <c r="L37" s="269"/>
      <c r="M37" s="269"/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69"/>
      <c r="Z37" s="269"/>
      <c r="AA37" s="269"/>
    </row>
    <row r="38" spans="1:27" s="176" customFormat="1">
      <c r="A38" s="269"/>
      <c r="B38" s="269"/>
      <c r="C38" s="269"/>
      <c r="D38" s="269"/>
      <c r="E38" s="269"/>
      <c r="F38" s="269"/>
      <c r="G38" s="269"/>
      <c r="H38" s="269"/>
      <c r="I38" s="269"/>
      <c r="J38" s="269"/>
      <c r="K38" s="269"/>
      <c r="L38" s="269"/>
      <c r="M38" s="269"/>
      <c r="N38" s="269"/>
      <c r="O38" s="269"/>
      <c r="P38" s="269"/>
      <c r="Q38" s="269"/>
      <c r="R38" s="269"/>
      <c r="S38" s="269"/>
      <c r="T38" s="269"/>
      <c r="U38" s="269"/>
      <c r="V38" s="269"/>
      <c r="W38" s="269"/>
      <c r="X38" s="269"/>
      <c r="Y38" s="269"/>
      <c r="Z38" s="269"/>
      <c r="AA38" s="269"/>
    </row>
    <row r="39" spans="1:27" s="176" customFormat="1">
      <c r="A39" s="269"/>
      <c r="B39" s="269"/>
      <c r="C39" s="269"/>
      <c r="D39" s="269"/>
      <c r="E39" s="269"/>
      <c r="F39" s="269"/>
      <c r="G39" s="269"/>
      <c r="H39" s="269"/>
      <c r="I39" s="269"/>
      <c r="J39" s="269"/>
      <c r="K39" s="269"/>
      <c r="L39" s="269"/>
      <c r="M39" s="269"/>
      <c r="N39" s="269"/>
      <c r="O39" s="269"/>
      <c r="P39" s="269"/>
      <c r="Q39" s="269"/>
      <c r="R39" s="269"/>
      <c r="S39" s="269"/>
      <c r="T39" s="269"/>
      <c r="U39" s="269"/>
      <c r="V39" s="269"/>
      <c r="W39" s="269"/>
      <c r="X39" s="269"/>
      <c r="Y39" s="269"/>
      <c r="Z39" s="269"/>
      <c r="AA39" s="269"/>
    </row>
    <row r="40" spans="1:27" s="176" customFormat="1">
      <c r="A40" s="269"/>
      <c r="B40" s="269"/>
      <c r="C40" s="269"/>
      <c r="D40" s="269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</row>
    <row r="41" spans="1:27" s="176" customFormat="1">
      <c r="A41" s="269"/>
      <c r="B41" s="269"/>
      <c r="C41" s="269"/>
      <c r="D41" s="269"/>
      <c r="E41" s="269"/>
      <c r="F41" s="269"/>
      <c r="G41" s="269"/>
      <c r="H41" s="269"/>
      <c r="I41" s="269"/>
      <c r="J41" s="269"/>
      <c r="K41" s="269"/>
      <c r="L41" s="269"/>
      <c r="M41" s="269"/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</row>
    <row r="42" spans="1:27" s="176" customFormat="1">
      <c r="A42" s="269"/>
      <c r="B42" s="269"/>
      <c r="C42" s="269"/>
      <c r="D42" s="269"/>
      <c r="E42" s="269"/>
      <c r="F42" s="269"/>
      <c r="G42" s="269"/>
      <c r="H42" s="269"/>
      <c r="I42" s="269"/>
      <c r="J42" s="269"/>
      <c r="K42" s="269"/>
      <c r="L42" s="269"/>
      <c r="M42" s="269"/>
      <c r="N42" s="269"/>
      <c r="O42" s="269"/>
      <c r="P42" s="269"/>
      <c r="Q42" s="269"/>
      <c r="R42" s="269"/>
      <c r="S42" s="269"/>
      <c r="T42" s="269"/>
      <c r="U42" s="269"/>
      <c r="V42" s="269"/>
      <c r="W42" s="269"/>
      <c r="X42" s="269"/>
      <c r="Y42" s="269"/>
      <c r="Z42" s="269"/>
      <c r="AA42" s="269"/>
    </row>
    <row r="43" spans="1:27" s="176" customFormat="1">
      <c r="A43" s="269"/>
      <c r="B43" s="269"/>
      <c r="C43" s="269"/>
      <c r="D43" s="269"/>
      <c r="E43" s="269"/>
      <c r="F43" s="269"/>
      <c r="G43" s="269"/>
      <c r="H43" s="269"/>
      <c r="I43" s="269"/>
      <c r="J43" s="269"/>
      <c r="K43" s="269"/>
      <c r="L43" s="269"/>
      <c r="M43" s="269"/>
      <c r="N43" s="269"/>
      <c r="O43" s="269"/>
      <c r="P43" s="269"/>
      <c r="Q43" s="269"/>
      <c r="R43" s="269"/>
      <c r="S43" s="269"/>
      <c r="T43" s="269"/>
      <c r="U43" s="269"/>
      <c r="V43" s="269"/>
      <c r="W43" s="269"/>
      <c r="X43" s="269"/>
      <c r="Y43" s="269"/>
      <c r="Z43" s="269"/>
      <c r="AA43" s="269"/>
    </row>
    <row r="44" spans="1:27" s="176" customFormat="1">
      <c r="A44" s="269"/>
      <c r="B44" s="269"/>
      <c r="C44" s="269"/>
      <c r="D44" s="269"/>
      <c r="E44" s="269"/>
      <c r="F44" s="269"/>
      <c r="G44" s="269"/>
      <c r="H44" s="269"/>
      <c r="I44" s="269"/>
      <c r="J44" s="269"/>
      <c r="K44" s="269"/>
      <c r="L44" s="269"/>
      <c r="M44" s="269"/>
      <c r="N44" s="269"/>
      <c r="O44" s="269"/>
      <c r="P44" s="269"/>
      <c r="Q44" s="269"/>
      <c r="R44" s="269"/>
      <c r="S44" s="269"/>
      <c r="T44" s="269"/>
      <c r="U44" s="269"/>
      <c r="V44" s="269"/>
      <c r="W44" s="269"/>
      <c r="X44" s="269"/>
      <c r="Y44" s="269"/>
      <c r="Z44" s="269"/>
      <c r="AA44" s="269"/>
    </row>
    <row r="45" spans="1:27" s="176" customFormat="1">
      <c r="A45" s="269"/>
      <c r="B45" s="269"/>
      <c r="C45" s="269"/>
      <c r="D45" s="269"/>
      <c r="E45" s="269"/>
      <c r="F45" s="269"/>
      <c r="G45" s="269"/>
      <c r="H45" s="269"/>
      <c r="I45" s="269"/>
      <c r="J45" s="269"/>
      <c r="K45" s="269"/>
      <c r="L45" s="269"/>
      <c r="M45" s="269"/>
      <c r="N45" s="269"/>
      <c r="O45" s="269"/>
      <c r="P45" s="269"/>
      <c r="Q45" s="269"/>
      <c r="R45" s="269"/>
      <c r="S45" s="269"/>
      <c r="T45" s="269"/>
      <c r="U45" s="269"/>
      <c r="V45" s="269"/>
      <c r="W45" s="269"/>
      <c r="X45" s="269"/>
      <c r="Y45" s="269"/>
      <c r="Z45" s="269"/>
      <c r="AA45" s="269"/>
    </row>
  </sheetData>
  <sheetProtection password="CEE3" sheet="1" objects="1" scenarios="1"/>
  <dataValidations count="2">
    <dataValidation type="decimal" operator="greaterThanOrEqual" allowBlank="1" showInputMessage="1" showErrorMessage="1" sqref="I4">
      <formula1>0</formula1>
    </dataValidation>
    <dataValidation type="list" allowBlank="1" showInputMessage="1" showErrorMessage="1" sqref="J10:K10">
      <formula1>ЦСегментСпр</formula1>
    </dataValidation>
  </dataValidations>
  <pageMargins left="0.7" right="0.7" top="0.75" bottom="0.75" header="0.3" footer="0.3"/>
  <pageSetup paperSize="9" orientation="portrait" r:id="rId1"/>
  <extLst xmlns:xr="http://schemas.microsoft.com/office/spreadsheetml/2014/revision"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B2B5F09-26A6-47A0-A8B2-7604314C858B}">
            <xm:f>$I$3=Цены!$M$11</xm:f>
            <x14:dxf>
              <font>
                <b val="0"/>
                <i val="0"/>
              </font>
              <fill>
                <patternFill>
                  <bgColor rgb="FFFFFF00"/>
                </patternFill>
              </fill>
            </x14:dxf>
          </x14:cfRule>
          <xm:sqref>J4:K4</xm:sqref>
        </x14:conditionalFormatting>
        <x14:conditionalFormatting xmlns:xm="http://schemas.microsoft.com/office/excel/2006/main">
          <x14:cfRule type="expression" priority="1" id="{CDB2EF31-BC07-43BC-9E87-240676640077}">
            <xm:f>$J$3=Цены!$M$16</xm:f>
            <x14:dxf>
              <font>
                <color theme="2" tint="-9.9948118533890809E-2"/>
              </font>
              <fill>
                <patternFill>
                  <bgColor theme="2" tint="-9.9948118533890809E-2"/>
                </patternFill>
              </fill>
            </x14:dxf>
          </x14:cfRule>
          <xm:sqref>I4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900-000002000000}">
          <x14:formula1>
            <xm:f>Цены!$M$11:$M$13</xm:f>
          </x14:formula1>
          <xm:sqref>J5:K5</xm:sqref>
        </x14:dataValidation>
        <x14:dataValidation type="list" allowBlank="1" showInputMessage="1" showErrorMessage="1" xr:uid="{00000000-0002-0000-0900-000003000000}">
          <x14:formula1>
            <xm:f>Цены!$M$11:$M$12</xm:f>
          </x14:formula1>
          <xm:sqref>I3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22"/>
  <dimension ref="B2:G14"/>
  <sheetViews>
    <sheetView workbookViewId="0">
      <selection activeCell="D8" sqref="D8:E8"/>
    </sheetView>
  </sheetViews>
  <sheetFormatPr defaultColWidth="9.140625" defaultRowHeight="15"/>
  <cols>
    <col min="1" max="1" width="9.140625" style="338"/>
    <col min="2" max="2" width="2.5703125" style="338" customWidth="1"/>
    <col min="3" max="3" width="31" style="338" customWidth="1"/>
    <col min="4" max="4" width="8" style="338" customWidth="1"/>
    <col min="5" max="5" width="15.5703125" style="338" customWidth="1"/>
    <col min="6" max="7" width="2.5703125" style="338" customWidth="1"/>
    <col min="8" max="16384" width="9.140625" style="338"/>
  </cols>
  <sheetData>
    <row r="2" spans="2:7" ht="14.25" customHeight="1"/>
    <row r="4" spans="2:7">
      <c r="B4" s="340"/>
      <c r="C4" s="341"/>
      <c r="D4" s="341"/>
      <c r="E4" s="341"/>
      <c r="F4" s="341"/>
      <c r="G4" s="342"/>
    </row>
    <row r="5" spans="2:7">
      <c r="B5" s="343"/>
      <c r="C5" s="348"/>
      <c r="D5" s="349"/>
      <c r="E5" s="349"/>
      <c r="F5" s="350"/>
      <c r="G5" s="344"/>
    </row>
    <row r="6" spans="2:7" ht="18.75" customHeight="1">
      <c r="B6" s="343"/>
      <c r="C6" s="357" t="s">
        <v>467</v>
      </c>
      <c r="D6" s="399">
        <v>0.3</v>
      </c>
      <c r="E6" s="356"/>
      <c r="F6" s="352"/>
      <c r="G6" s="344"/>
    </row>
    <row r="7" spans="2:7">
      <c r="B7" s="343"/>
      <c r="C7" s="351"/>
      <c r="D7" s="356"/>
      <c r="E7" s="356"/>
      <c r="F7" s="352"/>
      <c r="G7" s="344"/>
    </row>
    <row r="8" spans="2:7" ht="21.75" customHeight="1">
      <c r="B8" s="343"/>
      <c r="C8" s="357" t="s">
        <v>470</v>
      </c>
      <c r="D8" s="436" t="s">
        <v>468</v>
      </c>
      <c r="E8" s="436"/>
      <c r="F8" s="352"/>
      <c r="G8" s="344"/>
    </row>
    <row r="9" spans="2:7">
      <c r="B9" s="343"/>
      <c r="C9" s="353"/>
      <c r="D9" s="354"/>
      <c r="E9" s="354"/>
      <c r="F9" s="355"/>
      <c r="G9" s="344"/>
    </row>
    <row r="10" spans="2:7">
      <c r="B10" s="345"/>
      <c r="C10" s="346"/>
      <c r="D10" s="346"/>
      <c r="E10" s="346"/>
      <c r="F10" s="346"/>
      <c r="G10" s="347"/>
    </row>
    <row r="11" spans="2:7">
      <c r="B11" s="358"/>
      <c r="C11" s="358"/>
      <c r="D11" s="358"/>
      <c r="E11" s="358"/>
      <c r="F11" s="358"/>
      <c r="G11" s="358"/>
    </row>
    <row r="12" spans="2:7" ht="15.75" thickBot="1"/>
    <row r="13" spans="2:7" ht="86.25" customHeight="1" thickTop="1" thickBot="1">
      <c r="C13" s="437" t="s">
        <v>471</v>
      </c>
      <c r="D13" s="438"/>
      <c r="E13" s="438"/>
      <c r="F13" s="439"/>
    </row>
    <row r="14" spans="2:7" ht="15.75" thickTop="1"/>
  </sheetData>
  <sheetProtection password="CEE3" sheet="1" objects="1" scenarios="1"/>
  <mergeCells count="2">
    <mergeCell ref="D8:E8"/>
    <mergeCell ref="C13:F13"/>
  </mergeCells>
  <dataValidations count="2">
    <dataValidation type="decimal" allowBlank="1" showInputMessage="1" showErrorMessage="1" sqref="E6:E7 D6:D7">
      <formula1>0</formula1>
      <formula2>5</formula2>
    </dataValidation>
    <dataValidation type="list" allowBlank="1" showInputMessage="1" showErrorMessage="1" sqref="D8:E8">
      <formula1>СпрЦены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23"/>
  <dimension ref="B1:I31"/>
  <sheetViews>
    <sheetView topLeftCell="A3" zoomScale="90" zoomScaleNormal="90" workbookViewId="0">
      <selection activeCell="E14" sqref="E14"/>
    </sheetView>
  </sheetViews>
  <sheetFormatPr defaultColWidth="9.140625" defaultRowHeight="15"/>
  <cols>
    <col min="1" max="1" width="4.42578125" style="359" customWidth="1"/>
    <col min="2" max="2" width="39.7109375" style="359" customWidth="1"/>
    <col min="3" max="3" width="10.42578125" style="359" customWidth="1"/>
    <col min="4" max="4" width="3.7109375" style="359" customWidth="1"/>
    <col min="5" max="5" width="51.5703125" style="359" customWidth="1"/>
    <col min="6" max="6" width="9.140625" style="359"/>
    <col min="7" max="7" width="6.140625" style="359" customWidth="1"/>
    <col min="8" max="8" width="16.28515625" style="359" customWidth="1"/>
    <col min="9" max="9" width="9.140625" style="359" customWidth="1"/>
    <col min="10" max="16384" width="9.140625" style="359"/>
  </cols>
  <sheetData>
    <row r="1" spans="2:9" ht="6" customHeight="1"/>
    <row r="2" spans="2:9" ht="15.75">
      <c r="B2" s="375" t="s">
        <v>499</v>
      </c>
    </row>
    <row r="3" spans="2:9">
      <c r="B3" s="361" t="s">
        <v>498</v>
      </c>
    </row>
    <row r="4" spans="2:9" ht="8.25" customHeight="1" thickBot="1">
      <c r="B4" s="361"/>
    </row>
    <row r="5" spans="2:9" ht="31.5" customHeight="1" thickTop="1" thickBot="1">
      <c r="B5" s="376"/>
      <c r="C5" s="377" t="s">
        <v>501</v>
      </c>
      <c r="D5" s="378" t="s">
        <v>186</v>
      </c>
      <c r="E5" s="402" t="s">
        <v>496</v>
      </c>
      <c r="F5" s="394">
        <v>0.2</v>
      </c>
    </row>
    <row r="6" spans="2:9" ht="15.75" thickTop="1"/>
    <row r="7" spans="2:9" s="363" customFormat="1" ht="32.25" customHeight="1" thickBot="1">
      <c r="B7" s="372" t="s">
        <v>493</v>
      </c>
      <c r="C7" s="373"/>
      <c r="D7" s="373"/>
      <c r="E7" s="374" t="s">
        <v>488</v>
      </c>
      <c r="F7" s="373"/>
      <c r="G7" s="373"/>
      <c r="H7" s="374" t="s">
        <v>258</v>
      </c>
      <c r="I7" s="373"/>
    </row>
    <row r="8" spans="2:9" s="363" customFormat="1" ht="9.75" customHeight="1" thickTop="1">
      <c r="B8" s="371"/>
      <c r="E8" s="370"/>
      <c r="H8" s="370"/>
    </row>
    <row r="9" spans="2:9" s="363" customFormat="1" ht="26.25" customHeight="1">
      <c r="B9" s="403" t="s">
        <v>497</v>
      </c>
      <c r="C9" s="393">
        <v>0.2</v>
      </c>
      <c r="E9" s="403" t="s">
        <v>497</v>
      </c>
      <c r="F9" s="393">
        <v>0.2</v>
      </c>
      <c r="H9" s="369" t="s">
        <v>258</v>
      </c>
      <c r="I9" s="398">
        <v>0.15</v>
      </c>
    </row>
    <row r="10" spans="2:9" s="363" customFormat="1" ht="12" customHeight="1">
      <c r="B10" s="362"/>
      <c r="E10" s="367"/>
      <c r="H10" s="367"/>
    </row>
    <row r="11" spans="2:9" s="363" customFormat="1" ht="23.25" customHeight="1">
      <c r="B11" s="369" t="s">
        <v>31</v>
      </c>
      <c r="C11" s="395">
        <v>0.15</v>
      </c>
      <c r="E11" s="369" t="s">
        <v>485</v>
      </c>
      <c r="F11" s="395">
        <v>0.15</v>
      </c>
    </row>
    <row r="12" spans="2:9" s="363" customFormat="1" ht="23.25" customHeight="1">
      <c r="B12" s="369" t="s">
        <v>33</v>
      </c>
      <c r="C12" s="396">
        <v>0.15</v>
      </c>
      <c r="E12" s="369" t="s">
        <v>486</v>
      </c>
      <c r="F12" s="396">
        <v>0.15</v>
      </c>
    </row>
    <row r="13" spans="2:9" s="363" customFormat="1" ht="23.25" customHeight="1">
      <c r="B13" s="369" t="s">
        <v>32</v>
      </c>
      <c r="C13" s="396">
        <v>0.15</v>
      </c>
      <c r="E13" s="369" t="s">
        <v>495</v>
      </c>
      <c r="F13" s="396">
        <v>0.15</v>
      </c>
    </row>
    <row r="14" spans="2:9" s="363" customFormat="1" ht="23.25" customHeight="1">
      <c r="B14" s="369" t="s">
        <v>30</v>
      </c>
      <c r="C14" s="396">
        <v>0.15</v>
      </c>
      <c r="E14" s="369" t="s">
        <v>492</v>
      </c>
      <c r="F14" s="396">
        <v>0.15</v>
      </c>
    </row>
    <row r="15" spans="2:9" s="363" customFormat="1" ht="23.25" customHeight="1">
      <c r="B15" s="369" t="s">
        <v>36</v>
      </c>
      <c r="C15" s="396">
        <v>0.25</v>
      </c>
      <c r="E15" s="369" t="s">
        <v>483</v>
      </c>
      <c r="F15" s="396">
        <v>0.15</v>
      </c>
    </row>
    <row r="16" spans="2:9" s="363" customFormat="1" ht="23.25" customHeight="1">
      <c r="B16" s="369" t="s">
        <v>48</v>
      </c>
      <c r="C16" s="396">
        <v>0.15</v>
      </c>
      <c r="E16" s="369" t="s">
        <v>484</v>
      </c>
      <c r="F16" s="396">
        <v>0.15</v>
      </c>
    </row>
    <row r="17" spans="2:6" s="363" customFormat="1" ht="23.25" customHeight="1">
      <c r="B17" s="369" t="s">
        <v>40</v>
      </c>
      <c r="C17" s="396">
        <v>0.15</v>
      </c>
      <c r="E17" s="369" t="s">
        <v>491</v>
      </c>
      <c r="F17" s="396">
        <v>0.15</v>
      </c>
    </row>
    <row r="18" spans="2:6" s="363" customFormat="1" ht="23.25" customHeight="1">
      <c r="B18" s="369" t="s">
        <v>341</v>
      </c>
      <c r="C18" s="397">
        <v>0.15</v>
      </c>
      <c r="E18" s="369" t="s">
        <v>490</v>
      </c>
      <c r="F18" s="396">
        <v>0.15</v>
      </c>
    </row>
    <row r="19" spans="2:6" s="363" customFormat="1" ht="23.25" customHeight="1">
      <c r="E19" s="369" t="s">
        <v>489</v>
      </c>
      <c r="F19" s="396">
        <v>0.15</v>
      </c>
    </row>
    <row r="20" spans="2:6" s="363" customFormat="1" ht="23.25" customHeight="1">
      <c r="B20" s="359"/>
      <c r="C20" s="359"/>
      <c r="E20" s="369" t="s">
        <v>487</v>
      </c>
      <c r="F20" s="396">
        <v>0.15</v>
      </c>
    </row>
    <row r="21" spans="2:6" s="363" customFormat="1" ht="23.25" customHeight="1">
      <c r="B21" s="359"/>
      <c r="C21" s="359"/>
      <c r="E21" s="369" t="s">
        <v>530</v>
      </c>
      <c r="F21" s="397">
        <v>0.15</v>
      </c>
    </row>
    <row r="31" spans="2:6" ht="9" customHeight="1"/>
  </sheetData>
  <sheetProtection password="CEE3" sheet="1" objects="1" scenarios="1"/>
  <dataValidations count="1">
    <dataValidation type="decimal" allowBlank="1" showInputMessage="1" showErrorMessage="1" sqref="I9 C11:C18 C20:C21 F9 C9 F11:F21">
      <formula1>0</formula1>
      <formula2>5</formula2>
    </dataValidation>
  </dataValidations>
  <pageMargins left="0.7" right="0.7" top="0.75" bottom="0.75" header="0.3" footer="0.3"/>
  <pageSetup paperSize="9" orientation="portrait" r:id="rId1"/>
  <extLst xmlns:xr="http://schemas.microsoft.com/office/spreadsheetml/2014/revision"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394CEEF9-A3A8-4E50-ADA8-4D7EAFA6178E}">
            <xm:f>OR(B$9=Справ!$I$11,$E$5=Справ!$I$14)</xm:f>
            <x14:dxf>
              <font>
                <color theme="1" tint="0.24994659260841701"/>
              </font>
              <fill>
                <patternFill>
                  <bgColor theme="0" tint="-0.34998626667073579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expression" priority="6" id="{673AB66C-1583-4887-BE6F-7633F667FEE1}">
            <xm:f>OR(B$9&lt;&gt;Справ!$I$11,$E$5&lt;&gt;Справ!$I$15)</xm:f>
            <x14:dxf>
              <font>
                <color theme="1" tint="0.24994659260841701"/>
              </font>
              <fill>
                <patternFill>
                  <bgColor theme="0" tint="-0.34998626667073579"/>
                </patternFill>
              </fill>
            </x14:dxf>
          </x14:cfRule>
          <xm:sqref>C9</xm:sqref>
        </x14:conditionalFormatting>
        <x14:conditionalFormatting xmlns:xm="http://schemas.microsoft.com/office/excel/2006/main">
          <x14:cfRule type="expression" priority="5" id="{85CD53A8-E768-4C28-922C-A208D55DDD71}">
            <xm:f>OR(E$9&lt;&gt;Справ!$I$11,$E$5&lt;&gt;Справ!$I$15)</xm:f>
            <x14:dxf>
              <font>
                <color theme="1" tint="0.24994659260841701"/>
              </font>
              <fill>
                <patternFill>
                  <bgColor theme="0" tint="-0.34998626667073579"/>
                </patternFill>
              </fill>
            </x14:dxf>
          </x14:cfRule>
          <xm:sqref>F9</xm:sqref>
        </x14:conditionalFormatting>
        <x14:conditionalFormatting xmlns:xm="http://schemas.microsoft.com/office/excel/2006/main">
          <x14:cfRule type="expression" priority="3" id="{6B7AF442-AB07-4910-876D-5F80922A7124}">
            <xm:f>OR(E$9=Справ!$I$11,$E$5=Справ!$I$14)</xm:f>
            <x14:dxf>
              <font>
                <color theme="1" tint="0.24994659260841701"/>
              </font>
              <fill>
                <patternFill>
                  <bgColor theme="0" tint="-0.34998626667073579"/>
                </patternFill>
              </fill>
            </x14:dxf>
          </x14:cfRule>
          <xm:sqref>F11:F21</xm:sqref>
        </x14:conditionalFormatting>
        <x14:conditionalFormatting xmlns:xm="http://schemas.microsoft.com/office/excel/2006/main">
          <x14:cfRule type="expression" priority="4" id="{2F3A0CF8-C9F3-4DD0-9B85-527D26E4B5B8}">
            <xm:f>OR(B$9=Справ!$I$11,$E$5=Справ!$I$14)</xm:f>
            <x14:dxf>
              <font>
                <color theme="1" tint="0.24994659260841701"/>
              </font>
              <fill>
                <patternFill>
                  <bgColor theme="0" tint="-0.34998626667073579"/>
                </patternFill>
              </fill>
            </x14:dxf>
          </x14:cfRule>
          <xm:sqref>C12:C18</xm:sqref>
        </x14:conditionalFormatting>
        <x14:conditionalFormatting xmlns:xm="http://schemas.microsoft.com/office/excel/2006/main">
          <x14:cfRule type="expression" priority="2" id="{E56F9E4F-3CE6-407C-BD6E-73A49C54FD96}">
            <xm:f>$E$5=Справ!$I$15</xm:f>
            <x14:dxf>
              <fill>
                <patternFill>
                  <bgColor theme="0" tint="-0.34998626667073579"/>
                </patternFill>
              </fill>
            </x14:dxf>
          </x14:cfRule>
          <xm:sqref>F5</xm:sqref>
        </x14:conditionalFormatting>
        <x14:conditionalFormatting xmlns:xm="http://schemas.microsoft.com/office/excel/2006/main">
          <x14:cfRule type="expression" priority="1" id="{55DCC351-8BD6-492B-AB77-84AF38384BED}">
            <xm:f>$E$5&lt;&gt;Справ!$I$15</xm:f>
            <x14:dxf>
              <fill>
                <patternFill>
                  <bgColor theme="0" tint="-0.34998626667073579"/>
                </patternFill>
              </fill>
              <border>
                <left style="thin">
                  <color theme="0" tint="-4.9989318521683403E-2"/>
                </left>
                <right style="thin">
                  <color theme="0" tint="-4.9989318521683403E-2"/>
                </right>
                <top style="thin">
                  <color theme="0" tint="-4.9989318521683403E-2"/>
                </top>
                <bottom style="thin">
                  <color theme="0" tint="-4.9989318521683403E-2"/>
                </bottom>
              </border>
            </x14:dxf>
          </x14:cfRule>
          <xm:sqref>I9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1000000}">
          <x14:formula1>
            <xm:f>Справ!$I$11:$I$12</xm:f>
          </x14:formula1>
          <xm:sqref>B9 E9</xm:sqref>
        </x14:dataValidation>
        <x14:dataValidation type="list" allowBlank="1" showInputMessage="1" showErrorMessage="1" xr:uid="{00000000-0002-0000-0B00-000002000000}">
          <x14:formula1>
            <xm:f>Справ!$I$14:$I$15</xm:f>
          </x14:formula1>
          <xm:sqref>E5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5"/>
  <dimension ref="B1:T138"/>
  <sheetViews>
    <sheetView topLeftCell="A121" workbookViewId="0">
      <selection activeCell="B137" sqref="B137:B138"/>
    </sheetView>
  </sheetViews>
  <sheetFormatPr defaultColWidth="9.140625" defaultRowHeight="15"/>
  <cols>
    <col min="1" max="1" width="9.140625" style="9"/>
    <col min="2" max="3" width="12" style="9" customWidth="1"/>
    <col min="4" max="4" width="13.42578125" style="9" customWidth="1"/>
    <col min="5" max="5" width="12.28515625" style="9" customWidth="1"/>
    <col min="6" max="6" width="9.140625" style="9"/>
    <col min="7" max="7" width="14" style="9" customWidth="1"/>
    <col min="8" max="8" width="12.85546875" style="9" customWidth="1"/>
    <col min="9" max="11" width="9.140625" style="9"/>
    <col min="12" max="12" width="15.85546875" style="9" customWidth="1"/>
    <col min="13" max="13" width="15.28515625" style="9" bestFit="1" customWidth="1"/>
    <col min="14" max="16" width="9.140625" style="9"/>
    <col min="17" max="17" width="10.7109375" style="9" customWidth="1"/>
    <col min="18" max="18" width="14.140625" style="9" customWidth="1"/>
    <col min="19" max="19" width="11.42578125" style="9" customWidth="1"/>
    <col min="20" max="20" width="10.5703125" style="9" customWidth="1"/>
    <col min="21" max="16384" width="9.140625" style="9"/>
  </cols>
  <sheetData>
    <row r="1" spans="2:20">
      <c r="C1" s="267">
        <f>РознНаценка</f>
        <v>0.3</v>
      </c>
      <c r="D1" s="9">
        <f ca="1">IF('Курс Евро'!I3=Цены!M12,P1,'Курс Евро'!$I$4)</f>
        <v>0</v>
      </c>
      <c r="L1" s="266">
        <f ca="1">L2+13.2/24</f>
        <v>44721.076655208337</v>
      </c>
      <c r="M1" s="263">
        <f ca="1">INT(L1)</f>
        <v>44721</v>
      </c>
      <c r="N1" s="9">
        <f ca="1">SUMIF(КВ!$A$1:$A$186,M1,КВ!$B$1:$B$200)</f>
        <v>0</v>
      </c>
      <c r="O1" s="140" t="str">
        <f ca="1">IF(N1=0,"-",N1)</f>
        <v>-</v>
      </c>
      <c r="P1" s="9">
        <f ca="1">SUM(O1:O6)</f>
        <v>0</v>
      </c>
    </row>
    <row r="2" spans="2:20">
      <c r="B2" s="131" t="str">
        <f>ФлагЦеныПрайса</f>
        <v>розничные цены</v>
      </c>
      <c r="C2" s="368" t="e">
        <f>НЦ</f>
        <v>#REF!</v>
      </c>
      <c r="D2" s="9">
        <f ca="1">D1*1.01</f>
        <v>0</v>
      </c>
      <c r="L2" s="266">
        <f ca="1">NOW()</f>
        <v>44720.526655208334</v>
      </c>
      <c r="M2" s="263">
        <f ca="1">TODAY()</f>
        <v>44720</v>
      </c>
      <c r="N2" s="9">
        <f ca="1">SUMIF(КВ!$A$1:$A$186,M2,КВ!$B$1:$B$200)</f>
        <v>0</v>
      </c>
      <c r="O2" s="140" t="str">
        <f ca="1">IF(SUM(O$1:O1)=0,IF(N2=0,"-",N2),"-")</f>
        <v>-</v>
      </c>
      <c r="Q2" s="401"/>
      <c r="R2" s="9">
        <f ca="1">INDEX(ТабМДФ,7,MATCH("МДФ",Таб_Вес!$AI$19:$AI$21,0))*10000</f>
        <v>44720.000000000007</v>
      </c>
      <c r="S2" s="263"/>
      <c r="T2" s="263"/>
    </row>
    <row r="3" spans="2:20">
      <c r="C3" s="9" t="s">
        <v>503</v>
      </c>
      <c r="D3" s="140" t="s">
        <v>502</v>
      </c>
      <c r="E3" s="140" t="s">
        <v>494</v>
      </c>
      <c r="F3" s="9" t="s">
        <v>505</v>
      </c>
      <c r="G3" s="9" t="s">
        <v>504</v>
      </c>
      <c r="H3" s="9" t="s">
        <v>506</v>
      </c>
      <c r="M3" s="263">
        <f ca="1">M2-1</f>
        <v>44719</v>
      </c>
      <c r="N3" s="9">
        <f ca="1">SUMIF(КВ!$A$1:$A$186,M3,КВ!$B$1:$B$200)</f>
        <v>0</v>
      </c>
      <c r="O3" s="140" t="str">
        <f ca="1">IF(SUM(O$1:O2)=0,IF(N3=0,"-",N3),"-")</f>
        <v>-</v>
      </c>
      <c r="R3" s="400">
        <f ca="1">(YEAR(R2)-2000)+MONTH(R2)/100</f>
        <v>22.06</v>
      </c>
      <c r="T3" s="400"/>
    </row>
    <row r="4" spans="2:20">
      <c r="B4" s="82" t="s">
        <v>35</v>
      </c>
      <c r="C4" s="184">
        <f t="shared" ref="C4:C35" si="0">E4*(1+F4)*(1+РознНаценка*VLOOKUP(ФлагЦеныПрайса,ЦеныПрайса,2,0))</f>
        <v>0.19645017599999998</v>
      </c>
      <c r="D4" s="9">
        <f t="shared" ref="D4:D35" ca="1" si="1">C4*$D$2</f>
        <v>0</v>
      </c>
      <c r="E4" s="9">
        <v>0.13140479999999999</v>
      </c>
      <c r="F4" s="365">
        <f>IF(Ценообразование!$E$5=Справ!$I$14,Ценообразование!$F$5,G4)</f>
        <v>0.15</v>
      </c>
      <c r="G4" s="365">
        <f>IF(0&lt;COUNTIF(Петли!E:E,B4),НацПетли,SUMIF(ПМ!E:E,B4,ПМ!G:G))</f>
        <v>0.15</v>
      </c>
      <c r="H4" s="140">
        <f>IF(0&lt;COUNTIF(Петли!E:E,B4),3,IF(COUNTIFS(ПМ!E:E,B4,ПМ!B:B,Справ!$I$17)=1,1,IF(COUNTIFS(ПМ!E:E,B4,ПМ!B:B,Справ!$I$18)=1,2,0)))</f>
        <v>2</v>
      </c>
      <c r="I4" s="365">
        <f>IF(H4=1,IF(Ценообразование!$B$9=Справ!$I$11,Ценообразование!$C$9,G4),IF(H4=2,IF(Ценообразование!$E$9=Справ!$I$11,Ценообразование!$F$9,G4),IF(H4=3,НацПетли,0)))</f>
        <v>0.2</v>
      </c>
      <c r="M4" s="263">
        <f ca="1">M3-1</f>
        <v>44718</v>
      </c>
      <c r="N4" s="9">
        <f ca="1">SUMIF(КВ!$A$1:$A$186,M4,КВ!$B$1:$B$200)</f>
        <v>0</v>
      </c>
      <c r="O4" s="140" t="str">
        <f ca="1">IF(SUM(O$1:O3)=0,IF(N4=0,"-",N4),"-")</f>
        <v>-</v>
      </c>
      <c r="Q4" s="9">
        <v>19.079999999999998</v>
      </c>
      <c r="R4" s="400">
        <v>19.04</v>
      </c>
      <c r="S4" s="404">
        <f ca="1">R4-R3</f>
        <v>-3.0199999999999996</v>
      </c>
      <c r="T4" s="147"/>
    </row>
    <row r="5" spans="2:20">
      <c r="B5" s="82" t="s">
        <v>15</v>
      </c>
      <c r="C5" s="184">
        <f t="shared" si="0"/>
        <v>1.7241784169999994</v>
      </c>
      <c r="D5" s="9">
        <f t="shared" ca="1" si="1"/>
        <v>0</v>
      </c>
      <c r="E5" s="9">
        <v>1.1532965999999998</v>
      </c>
      <c r="F5" s="365">
        <f>IF(Ценообразование!$E$5=Справ!$I$14,Ценообразование!$F$5,G5)</f>
        <v>0.15</v>
      </c>
      <c r="G5" s="365">
        <f>IF(0&lt;COUNTIF(Петли!E:E,B5),НацПетли,SUMIF(ПМ!E:E,B5,ПМ!G:G))</f>
        <v>0.15</v>
      </c>
      <c r="H5" s="140">
        <f>IF(0&lt;COUNTIF(Петли!E:E,B5),3,IF(COUNTIFS(ПМ!E:E,B5,ПМ!B:B,Справ!$I$17)=1,1,IF(COUNTIFS(ПМ!E:E,B5,ПМ!B:B,Справ!$I$18)=1,2,0)))</f>
        <v>3</v>
      </c>
      <c r="I5" s="365">
        <f>IF(H5=1,IF(Ценообразование!$B$9=Справ!$I$11,Ценообразование!$C$9,G5),IF(H5=2,IF(Ценообразование!$E$9=Справ!$I$11,Ценообразование!$F$9,G5),IF(H5=3,НацПетли,0)))</f>
        <v>0.15</v>
      </c>
      <c r="M5" s="263">
        <f ca="1">M4-1</f>
        <v>44717</v>
      </c>
      <c r="N5" s="9">
        <f ca="1">SUMIF(КВ!$A$1:$A$186,M5,КВ!$B$1:$B$200)</f>
        <v>0</v>
      </c>
      <c r="O5" s="140" t="str">
        <f ca="1">IF(SUM(O$1:O4)=0,IF(N5=0,"-",N5),"-")</f>
        <v>-</v>
      </c>
      <c r="R5" s="147">
        <f ca="1">IF(S4&gt;=1,S4,0)</f>
        <v>0</v>
      </c>
    </row>
    <row r="6" spans="2:20">
      <c r="B6" s="82" t="s">
        <v>61</v>
      </c>
      <c r="C6" s="184">
        <f t="shared" si="0"/>
        <v>0.77792207999999996</v>
      </c>
      <c r="D6" s="9">
        <f t="shared" ca="1" si="1"/>
        <v>0</v>
      </c>
      <c r="E6" s="9">
        <v>0.59840159999999998</v>
      </c>
      <c r="F6" s="365">
        <f>IF(Ценообразование!$E$5=Справ!$I$14,Ценообразование!$F$5,G6)</f>
        <v>0</v>
      </c>
      <c r="G6" s="365">
        <f>IF(0&lt;COUNTIF(Петли!E:E,B6),НацПетли,SUMIF(ПМ!E:E,B6,ПМ!G:G))</f>
        <v>0</v>
      </c>
      <c r="H6" s="140">
        <f>IF(0&lt;COUNTIF(Петли!E:E,B6),3,IF(COUNTIFS(ПМ!E:E,B6,ПМ!B:B,Справ!$I$17)=1,1,IF(COUNTIFS(ПМ!E:E,B6,ПМ!B:B,Справ!$I$18)=1,2,0)))</f>
        <v>0</v>
      </c>
      <c r="I6" s="365">
        <f>IF(H6=1,IF(Ценообразование!$B$9=Справ!$I$11,Ценообразование!$C$9,G6),IF(H6=2,IF(Ценообразование!$E$9=Справ!$I$11,Ценообразование!$F$9,G6),IF(H6=3,НацПетли,0)))</f>
        <v>0</v>
      </c>
      <c r="K6" s="9">
        <f ca="1">SUMIF(O1:O6,"&gt;0",O1:O6)</f>
        <v>0</v>
      </c>
      <c r="M6" s="263">
        <f ca="1">M5-1</f>
        <v>44716</v>
      </c>
      <c r="N6" s="9">
        <f ca="1">SUMIF(КВ!$A$1:$A$186,M6,КВ!$B$1:$B$200)</f>
        <v>0</v>
      </c>
      <c r="O6" s="140" t="str">
        <f ca="1">IF(SUM(O$1:O5)=0,IF(N6=0,"-",N6),"-")</f>
        <v>-</v>
      </c>
    </row>
    <row r="7" spans="2:20">
      <c r="B7" s="82" t="s">
        <v>163</v>
      </c>
      <c r="C7" s="184">
        <f t="shared" si="0"/>
        <v>33.452896750000001</v>
      </c>
      <c r="D7" s="9">
        <f t="shared" ca="1" si="1"/>
        <v>0</v>
      </c>
      <c r="E7" s="9">
        <v>20.586397999999999</v>
      </c>
      <c r="F7" s="365">
        <f>IF(Ценообразование!$E$5=Справ!$I$14,Ценообразование!$F$5,G7)</f>
        <v>0.25</v>
      </c>
      <c r="G7" s="365">
        <f>IF(0&lt;COUNTIF(Петли!E:E,B7),НацПетли,SUMIF(ПМ!E:E,B7,ПМ!G:G))</f>
        <v>0.25</v>
      </c>
      <c r="H7" s="140">
        <f>IF(0&lt;COUNTIF(Петли!E:E,B7),3,IF(COUNTIFS(ПМ!E:E,B7,ПМ!B:B,Справ!$I$17)=1,1,IF(COUNTIFS(ПМ!E:E,B7,ПМ!B:B,Справ!$I$18)=1,2,0)))</f>
        <v>1</v>
      </c>
      <c r="I7" s="365">
        <f>IF(H7=1,IF(Ценообразование!$B$9=Справ!$I$11,Ценообразование!$C$9,G7),IF(H7=2,IF(Ценообразование!$E$9=Справ!$I$11,Ценообразование!$F$9,G7),IF(H7=3,НацПетли,0)))</f>
        <v>0.2</v>
      </c>
      <c r="K7" s="9" t="e">
        <f ca="1">MATCH(SUMIF($O$1:$O$6,"&gt;0",$O$1:$O$6),$O$1:$O$6,1)</f>
        <v>#N/A</v>
      </c>
    </row>
    <row r="8" spans="2:20">
      <c r="B8" s="82" t="s">
        <v>164</v>
      </c>
      <c r="C8" s="184">
        <f t="shared" si="0"/>
        <v>33.452896750000001</v>
      </c>
      <c r="D8" s="9">
        <f t="shared" ca="1" si="1"/>
        <v>0</v>
      </c>
      <c r="E8" s="9">
        <v>20.586397999999999</v>
      </c>
      <c r="F8" s="365">
        <f>IF(Ценообразование!$E$5=Справ!$I$14,Ценообразование!$F$5,G8)</f>
        <v>0.25</v>
      </c>
      <c r="G8" s="365">
        <f>IF(0&lt;COUNTIF(Петли!E:E,B8),НацПетли,SUMIF(ПМ!E:E,B8,ПМ!G:G))</f>
        <v>0.25</v>
      </c>
      <c r="H8" s="140">
        <f>IF(0&lt;COUNTIF(Петли!E:E,B8),3,IF(COUNTIFS(ПМ!E:E,B8,ПМ!B:B,Справ!$I$17)=1,1,IF(COUNTIFS(ПМ!E:E,B8,ПМ!B:B,Справ!$I$18)=1,2,0)))</f>
        <v>1</v>
      </c>
      <c r="I8" s="365">
        <f>IF(H8=1,IF(Ценообразование!$B$9=Справ!$I$11,Ценообразование!$C$9,G8),IF(H8=2,IF(Ценообразование!$E$9=Справ!$I$11,Ценообразование!$F$9,G8),IF(H8=3,НацПетли,0)))</f>
        <v>0.2</v>
      </c>
      <c r="Q8" s="237"/>
      <c r="R8" s="400"/>
    </row>
    <row r="9" spans="2:20">
      <c r="B9" s="82" t="s">
        <v>166</v>
      </c>
      <c r="C9" s="184">
        <f t="shared" si="0"/>
        <v>33.452896750000001</v>
      </c>
      <c r="D9" s="9">
        <f t="shared" ca="1" si="1"/>
        <v>0</v>
      </c>
      <c r="E9" s="9">
        <v>20.586397999999999</v>
      </c>
      <c r="F9" s="365">
        <f>IF(Ценообразование!$E$5=Справ!$I$14,Ценообразование!$F$5,G9)</f>
        <v>0.25</v>
      </c>
      <c r="G9" s="365">
        <f>IF(0&lt;COUNTIF(Петли!E:E,B9),НацПетли,SUMIF(ПМ!E:E,B9,ПМ!G:G))</f>
        <v>0.25</v>
      </c>
      <c r="H9" s="140">
        <f>IF(0&lt;COUNTIF(Петли!E:E,B9),3,IF(COUNTIFS(ПМ!E:E,B9,ПМ!B:B,Справ!$I$17)=1,1,IF(COUNTIFS(ПМ!E:E,B9,ПМ!B:B,Справ!$I$18)=1,2,0)))</f>
        <v>1</v>
      </c>
      <c r="I9" s="365">
        <f>IF(H9=1,IF(Ценообразование!$B$9=Справ!$I$11,Ценообразование!$C$9,G9),IF(H9=2,IF(Ценообразование!$E$9=Справ!$I$11,Ценообразование!$F$9,G9),IF(H9=3,НацПетли,0)))</f>
        <v>0.2</v>
      </c>
      <c r="R9" s="400"/>
    </row>
    <row r="10" spans="2:20">
      <c r="B10" s="82" t="s">
        <v>167</v>
      </c>
      <c r="C10" s="184">
        <f t="shared" si="0"/>
        <v>33.452896750000001</v>
      </c>
      <c r="D10" s="9">
        <f t="shared" ca="1" si="1"/>
        <v>0</v>
      </c>
      <c r="E10" s="9">
        <v>20.586397999999999</v>
      </c>
      <c r="F10" s="365">
        <f>IF(Ценообразование!$E$5=Справ!$I$14,Ценообразование!$F$5,G10)</f>
        <v>0.25</v>
      </c>
      <c r="G10" s="365">
        <f>IF(0&lt;COUNTIF(Петли!E:E,B10),НацПетли,SUMIF(ПМ!E:E,B10,ПМ!G:G))</f>
        <v>0.25</v>
      </c>
      <c r="H10" s="140">
        <f>IF(0&lt;COUNTIF(Петли!E:E,B10),3,IF(COUNTIFS(ПМ!E:E,B10,ПМ!B:B,Справ!$I$17)=1,1,IF(COUNTIFS(ПМ!E:E,B10,ПМ!B:B,Справ!$I$18)=1,2,0)))</f>
        <v>1</v>
      </c>
      <c r="I10" s="365">
        <f>IF(H10=1,IF(Ценообразование!$B$9=Справ!$I$11,Ценообразование!$C$9,G10),IF(H10=2,IF(Ценообразование!$E$9=Справ!$I$11,Ценообразование!$F$9,G10),IF(H10=3,НацПетли,0)))</f>
        <v>0.2</v>
      </c>
      <c r="R10" s="263"/>
    </row>
    <row r="11" spans="2:20">
      <c r="B11" s="82" t="s">
        <v>169</v>
      </c>
      <c r="C11" s="184">
        <f t="shared" si="0"/>
        <v>33.452896750000001</v>
      </c>
      <c r="D11" s="9">
        <f t="shared" ca="1" si="1"/>
        <v>0</v>
      </c>
      <c r="E11" s="9">
        <v>20.586397999999999</v>
      </c>
      <c r="F11" s="365">
        <f>IF(Ценообразование!$E$5=Справ!$I$14,Ценообразование!$F$5,G11)</f>
        <v>0.25</v>
      </c>
      <c r="G11" s="365">
        <f>IF(0&lt;COUNTIF(Петли!E:E,B11),НацПетли,SUMIF(ПМ!E:E,B11,ПМ!G:G))</f>
        <v>0.25</v>
      </c>
      <c r="H11" s="140">
        <f>IF(0&lt;COUNTIF(Петли!E:E,B11),3,IF(COUNTIFS(ПМ!E:E,B11,ПМ!B:B,Справ!$I$17)=1,1,IF(COUNTIFS(ПМ!E:E,B11,ПМ!B:B,Справ!$I$18)=1,2,0)))</f>
        <v>1</v>
      </c>
      <c r="I11" s="365">
        <f>IF(H11=1,IF(Ценообразование!$B$9=Справ!$I$11,Ценообразование!$C$9,G11),IF(H11=2,IF(Ценообразование!$E$9=Справ!$I$11,Ценообразование!$F$9,G11),IF(H11=3,НацПетли,0)))</f>
        <v>0.2</v>
      </c>
      <c r="M11" s="9" t="s">
        <v>406</v>
      </c>
      <c r="R11" s="263"/>
    </row>
    <row r="12" spans="2:20">
      <c r="B12" s="82" t="s">
        <v>170</v>
      </c>
      <c r="C12" s="184">
        <f t="shared" si="0"/>
        <v>33.452896750000001</v>
      </c>
      <c r="D12" s="9">
        <f t="shared" ca="1" si="1"/>
        <v>0</v>
      </c>
      <c r="E12" s="9">
        <v>20.586397999999999</v>
      </c>
      <c r="F12" s="365">
        <f>IF(Ценообразование!$E$5=Справ!$I$14,Ценообразование!$F$5,G12)</f>
        <v>0.25</v>
      </c>
      <c r="G12" s="365">
        <f>IF(0&lt;COUNTIF(Петли!E:E,B12),НацПетли,SUMIF(ПМ!E:E,B12,ПМ!G:G))</f>
        <v>0.25</v>
      </c>
      <c r="H12" s="140">
        <f>IF(0&lt;COUNTIF(Петли!E:E,B12),3,IF(COUNTIFS(ПМ!E:E,B12,ПМ!B:B,Справ!$I$17)=1,1,IF(COUNTIFS(ПМ!E:E,B12,ПМ!B:B,Справ!$I$18)=1,2,0)))</f>
        <v>1</v>
      </c>
      <c r="I12" s="365">
        <f>IF(H12=1,IF(Ценообразование!$B$9=Справ!$I$11,Ценообразование!$C$9,G12),IF(H12=2,IF(Ценообразование!$E$9=Справ!$I$11,Ценообразование!$F$9,G12),IF(H12=3,НацПетли,0)))</f>
        <v>0.2</v>
      </c>
      <c r="M12" s="9" t="s">
        <v>407</v>
      </c>
    </row>
    <row r="13" spans="2:20">
      <c r="B13" s="82" t="s">
        <v>172</v>
      </c>
      <c r="C13" s="184">
        <f t="shared" si="0"/>
        <v>33.452896750000001</v>
      </c>
      <c r="D13" s="9">
        <f t="shared" ca="1" si="1"/>
        <v>0</v>
      </c>
      <c r="E13" s="9">
        <v>20.586397999999999</v>
      </c>
      <c r="F13" s="365">
        <f>IF(Ценообразование!$E$5=Справ!$I$14,Ценообразование!$F$5,G13)</f>
        <v>0.25</v>
      </c>
      <c r="G13" s="365">
        <f>IF(0&lt;COUNTIF(Петли!E:E,B13),НацПетли,SUMIF(ПМ!E:E,B13,ПМ!G:G))</f>
        <v>0.25</v>
      </c>
      <c r="H13" s="140">
        <f>IF(0&lt;COUNTIF(Петли!E:E,B13),3,IF(COUNTIFS(ПМ!E:E,B13,ПМ!B:B,Справ!$I$17)=1,1,IF(COUNTIFS(ПМ!E:E,B13,ПМ!B:B,Справ!$I$18)=1,2,0)))</f>
        <v>1</v>
      </c>
      <c r="I13" s="365">
        <f>IF(H13=1,IF(Ценообразование!$B$9=Справ!$I$11,Ценообразование!$C$9,G13),IF(H13=2,IF(Ценообразование!$E$9=Справ!$I$11,Ценообразование!$F$9,G13),IF(H13=3,НацПетли,0)))</f>
        <v>0.2</v>
      </c>
    </row>
    <row r="14" spans="2:20">
      <c r="B14" s="82" t="s">
        <v>173</v>
      </c>
      <c r="C14" s="184">
        <f t="shared" si="0"/>
        <v>33.452896750000001</v>
      </c>
      <c r="D14" s="9">
        <f t="shared" ca="1" si="1"/>
        <v>0</v>
      </c>
      <c r="E14" s="9">
        <v>20.586397999999999</v>
      </c>
      <c r="F14" s="365">
        <f>IF(Ценообразование!$E$5=Справ!$I$14,Ценообразование!$F$5,G14)</f>
        <v>0.25</v>
      </c>
      <c r="G14" s="365">
        <f>IF(0&lt;COUNTIF(Петли!E:E,B14),НацПетли,SUMIF(ПМ!E:E,B14,ПМ!G:G))</f>
        <v>0.25</v>
      </c>
      <c r="H14" s="140">
        <f>IF(0&lt;COUNTIF(Петли!E:E,B14),3,IF(COUNTIFS(ПМ!E:E,B14,ПМ!B:B,Справ!$I$17)=1,1,IF(COUNTIFS(ПМ!E:E,B14,ПМ!B:B,Справ!$I$18)=1,2,0)))</f>
        <v>1</v>
      </c>
      <c r="I14" s="365">
        <f>IF(H14=1,IF(Ценообразование!$B$9=Справ!$I$11,Ценообразование!$C$9,G14),IF(H14=2,IF(Ценообразование!$E$9=Справ!$I$11,Ценообразование!$F$9,G14),IF(H14=3,НацПетли,0)))</f>
        <v>0.2</v>
      </c>
    </row>
    <row r="15" spans="2:20">
      <c r="B15" s="82" t="s">
        <v>37</v>
      </c>
      <c r="C15" s="184">
        <f t="shared" si="0"/>
        <v>33.452896750000001</v>
      </c>
      <c r="D15" s="9">
        <f t="shared" ca="1" si="1"/>
        <v>0</v>
      </c>
      <c r="E15" s="9">
        <v>20.586397999999999</v>
      </c>
      <c r="F15" s="365">
        <f>IF(Ценообразование!$E$5=Справ!$I$14,Ценообразование!$F$5,G15)</f>
        <v>0.25</v>
      </c>
      <c r="G15" s="365">
        <f>IF(0&lt;COUNTIF(Петли!E:E,B15),НацПетли,SUMIF(ПМ!E:E,B15,ПМ!G:G))</f>
        <v>0.25</v>
      </c>
      <c r="H15" s="140">
        <f>IF(0&lt;COUNTIF(Петли!E:E,B15),3,IF(COUNTIFS(ПМ!E:E,B15,ПМ!B:B,Справ!$I$17)=1,1,IF(COUNTIFS(ПМ!E:E,B15,ПМ!B:B,Справ!$I$18)=1,2,0)))</f>
        <v>1</v>
      </c>
      <c r="I15" s="365">
        <f>IF(H15=1,IF(Ценообразование!$B$9=Справ!$I$11,Ценообразование!$C$9,G15),IF(H15=2,IF(Ценообразование!$E$9=Справ!$I$11,Ценообразование!$F$9,G15),IF(H15=3,НацПетли,0)))</f>
        <v>0.2</v>
      </c>
      <c r="M15" s="147"/>
    </row>
    <row r="16" spans="2:20">
      <c r="B16" s="82" t="s">
        <v>38</v>
      </c>
      <c r="C16" s="184">
        <f t="shared" si="0"/>
        <v>33.452896750000001</v>
      </c>
      <c r="D16" s="9">
        <f t="shared" ca="1" si="1"/>
        <v>0</v>
      </c>
      <c r="E16" s="9">
        <v>20.586397999999999</v>
      </c>
      <c r="F16" s="365">
        <f>IF(Ценообразование!$E$5=Справ!$I$14,Ценообразование!$F$5,G16)</f>
        <v>0.25</v>
      </c>
      <c r="G16" s="365">
        <f>IF(0&lt;COUNTIF(Петли!E:E,B16),НацПетли,SUMIF(ПМ!E:E,B16,ПМ!G:G))</f>
        <v>0.25</v>
      </c>
      <c r="H16" s="140">
        <f>IF(0&lt;COUNTIF(Петли!E:E,B16),3,IF(COUNTIFS(ПМ!E:E,B16,ПМ!B:B,Справ!$I$17)=1,1,IF(COUNTIFS(ПМ!E:E,B16,ПМ!B:B,Справ!$I$18)=1,2,0)))</f>
        <v>1</v>
      </c>
      <c r="I16" s="365">
        <f>IF(H16=1,IF(Ценообразование!$B$9=Справ!$I$11,Ценообразование!$C$9,G16),IF(H16=2,IF(Ценообразование!$E$9=Справ!$I$11,Ценообразование!$F$9,G16),IF(H16=3,НацПетли,0)))</f>
        <v>0.2</v>
      </c>
      <c r="M16" s="9" t="s">
        <v>408</v>
      </c>
    </row>
    <row r="17" spans="2:13">
      <c r="B17" s="82" t="s">
        <v>176</v>
      </c>
      <c r="C17" s="184">
        <f t="shared" si="0"/>
        <v>33.452896750000001</v>
      </c>
      <c r="D17" s="9">
        <f t="shared" ca="1" si="1"/>
        <v>0</v>
      </c>
      <c r="E17" s="9">
        <v>20.586397999999999</v>
      </c>
      <c r="F17" s="365">
        <f>IF(Ценообразование!$E$5=Справ!$I$14,Ценообразование!$F$5,G17)</f>
        <v>0.25</v>
      </c>
      <c r="G17" s="365">
        <f>IF(0&lt;COUNTIF(Петли!E:E,B17),НацПетли,SUMIF(ПМ!E:E,B17,ПМ!G:G))</f>
        <v>0.25</v>
      </c>
      <c r="H17" s="140">
        <f>IF(0&lt;COUNTIF(Петли!E:E,B17),3,IF(COUNTIFS(ПМ!E:E,B17,ПМ!B:B,Справ!$I$17)=1,1,IF(COUNTIFS(ПМ!E:E,B17,ПМ!B:B,Справ!$I$18)=1,2,0)))</f>
        <v>1</v>
      </c>
      <c r="I17" s="365">
        <f>IF(H17=1,IF(Ценообразование!$B$9=Справ!$I$11,Ценообразование!$C$9,G17),IF(H17=2,IF(Ценообразование!$E$9=Справ!$I$11,Ценообразование!$F$9,G17),IF(H17=3,НацПетли,0)))</f>
        <v>0.2</v>
      </c>
      <c r="M17" s="147" t="s">
        <v>409</v>
      </c>
    </row>
    <row r="18" spans="2:13">
      <c r="B18" s="82" t="s">
        <v>177</v>
      </c>
      <c r="C18" s="184">
        <f t="shared" si="0"/>
        <v>33.452896750000001</v>
      </c>
      <c r="D18" s="9">
        <f t="shared" ca="1" si="1"/>
        <v>0</v>
      </c>
      <c r="E18" s="9">
        <v>20.586397999999999</v>
      </c>
      <c r="F18" s="365">
        <f>IF(Ценообразование!$E$5=Справ!$I$14,Ценообразование!$F$5,G18)</f>
        <v>0.25</v>
      </c>
      <c r="G18" s="365">
        <f>IF(0&lt;COUNTIF(Петли!E:E,B18),НацПетли,SUMIF(ПМ!E:E,B18,ПМ!G:G))</f>
        <v>0.25</v>
      </c>
      <c r="H18" s="140">
        <f>IF(0&lt;COUNTIF(Петли!E:E,B18),3,IF(COUNTIFS(ПМ!E:E,B18,ПМ!B:B,Справ!$I$17)=1,1,IF(COUNTIFS(ПМ!E:E,B18,ПМ!B:B,Справ!$I$18)=1,2,0)))</f>
        <v>1</v>
      </c>
      <c r="I18" s="365">
        <f>IF(H18=1,IF(Ценообразование!$B$9=Справ!$I$11,Ценообразование!$C$9,G18),IF(H18=2,IF(Ценообразование!$E$9=Справ!$I$11,Ценообразование!$F$9,G18),IF(H18=3,НацПетли,0)))</f>
        <v>0.2</v>
      </c>
      <c r="M18" s="263"/>
    </row>
    <row r="19" spans="2:13">
      <c r="B19" s="82" t="s">
        <v>39</v>
      </c>
      <c r="C19" s="184">
        <f t="shared" si="0"/>
        <v>2.9159514539999996</v>
      </c>
      <c r="D19" s="9">
        <f t="shared" ca="1" si="1"/>
        <v>0</v>
      </c>
      <c r="E19" s="9">
        <v>1.9504691999999999</v>
      </c>
      <c r="F19" s="365">
        <f>IF(Ценообразование!$E$5=Справ!$I$14,Ценообразование!$F$5,G19)</f>
        <v>0.15</v>
      </c>
      <c r="G19" s="365">
        <f>IF(0&lt;COUNTIF(Петли!E:E,B19),НацПетли,SUMIF(ПМ!E:E,B19,ПМ!G:G))</f>
        <v>0.15</v>
      </c>
      <c r="H19" s="140">
        <f>IF(0&lt;COUNTIF(Петли!E:E,B19),3,IF(COUNTIFS(ПМ!E:E,B19,ПМ!B:B,Справ!$I$17)=1,1,IF(COUNTIFS(ПМ!E:E,B19,ПМ!B:B,Справ!$I$18)=1,2,0)))</f>
        <v>2</v>
      </c>
      <c r="I19" s="365">
        <f>IF(H19=1,IF(Ценообразование!$B$9=Справ!$I$11,Ценообразование!$C$9,G19),IF(H19=2,IF(Ценообразование!$E$9=Справ!$I$11,Ценообразование!$F$9,G19),IF(H19=3,НацПетли,0)))</f>
        <v>0.2</v>
      </c>
    </row>
    <row r="20" spans="2:13">
      <c r="B20" s="82" t="s">
        <v>236</v>
      </c>
      <c r="C20" s="184">
        <f t="shared" si="0"/>
        <v>2.9159514539999996</v>
      </c>
      <c r="D20" s="9">
        <f t="shared" ca="1" si="1"/>
        <v>0</v>
      </c>
      <c r="E20" s="9">
        <v>1.9504691999999999</v>
      </c>
      <c r="F20" s="365">
        <f>IF(Ценообразование!$E$5=Справ!$I$14,Ценообразование!$F$5,G20)</f>
        <v>0.15</v>
      </c>
      <c r="G20" s="365">
        <f>IF(0&lt;COUNTIF(Петли!E:E,B20),НацПетли,SUMIF(ПМ!E:E,B20,ПМ!G:G))</f>
        <v>0.15</v>
      </c>
      <c r="H20" s="140">
        <f>IF(0&lt;COUNTIF(Петли!E:E,B20),3,IF(COUNTIFS(ПМ!E:E,B20,ПМ!B:B,Справ!$I$17)=1,1,IF(COUNTIFS(ПМ!E:E,B20,ПМ!B:B,Справ!$I$18)=1,2,0)))</f>
        <v>2</v>
      </c>
      <c r="I20" s="365">
        <f>IF(H20=1,IF(Ценообразование!$B$9=Справ!$I$11,Ценообразование!$C$9,G20),IF(H20=2,IF(Ценообразование!$E$9=Справ!$I$11,Ценообразование!$F$9,G20),IF(H20=3,НацПетли,0)))</f>
        <v>0.2</v>
      </c>
    </row>
    <row r="21" spans="2:13">
      <c r="B21" s="82" t="s">
        <v>27</v>
      </c>
      <c r="C21" s="184">
        <f t="shared" si="0"/>
        <v>5.1194711229999994</v>
      </c>
      <c r="D21" s="9">
        <f t="shared" ca="1" si="1"/>
        <v>0</v>
      </c>
      <c r="E21" s="9">
        <v>3.4243953999999999</v>
      </c>
      <c r="F21" s="365">
        <f>IF(Ценообразование!$E$5=Справ!$I$14,Ценообразование!$F$5,G21)</f>
        <v>0.15</v>
      </c>
      <c r="G21" s="365">
        <f>IF(0&lt;COUNTIF(Петли!E:E,B21),НацПетли,SUMIF(ПМ!E:E,B21,ПМ!G:G))</f>
        <v>0.15</v>
      </c>
      <c r="H21" s="140">
        <f>IF(0&lt;COUNTIF(Петли!E:E,B21),3,IF(COUNTIFS(ПМ!E:E,B21,ПМ!B:B,Справ!$I$17)=1,1,IF(COUNTIFS(ПМ!E:E,B21,ПМ!B:B,Справ!$I$18)=1,2,0)))</f>
        <v>2</v>
      </c>
      <c r="I21" s="365">
        <f>IF(H21=1,IF(Ценообразование!$B$9=Справ!$I$11,Ценообразование!$C$9,G21),IF(H21=2,IF(Ценообразование!$E$9=Справ!$I$11,Ценообразование!$F$9,G21),IF(H21=3,НацПетли,0)))</f>
        <v>0.2</v>
      </c>
    </row>
    <row r="22" spans="2:13">
      <c r="B22" s="82" t="s">
        <v>233</v>
      </c>
      <c r="C22" s="184">
        <f t="shared" si="0"/>
        <v>9.098116417</v>
      </c>
      <c r="D22" s="9">
        <f t="shared" ca="1" si="1"/>
        <v>0</v>
      </c>
      <c r="E22" s="9">
        <v>6.0856966000000003</v>
      </c>
      <c r="F22" s="365">
        <f>IF(Ценообразование!$E$5=Справ!$I$14,Ценообразование!$F$5,G22)</f>
        <v>0.15</v>
      </c>
      <c r="G22" s="365">
        <f>IF(0&lt;COUNTIF(Петли!E:E,B22),НацПетли,SUMIF(ПМ!E:E,B22,ПМ!G:G))</f>
        <v>0.15</v>
      </c>
      <c r="H22" s="140">
        <f>IF(0&lt;COUNTIF(Петли!E:E,B22),3,IF(COUNTIFS(ПМ!E:E,B22,ПМ!B:B,Справ!$I$17)=1,1,IF(COUNTIFS(ПМ!E:E,B22,ПМ!B:B,Справ!$I$18)=1,2,0)))</f>
        <v>2</v>
      </c>
      <c r="I22" s="365">
        <f>IF(H22=1,IF(Ценообразование!$B$9=Справ!$I$11,Ценообразование!$C$9,G22),IF(H22=2,IF(Ценообразование!$E$9=Справ!$I$11,Ценообразование!$F$9,G22),IF(H22=3,НацПетли,0)))</f>
        <v>0.2</v>
      </c>
    </row>
    <row r="23" spans="2:13">
      <c r="B23" s="82" t="s">
        <v>28</v>
      </c>
      <c r="C23" s="184">
        <f t="shared" si="0"/>
        <v>0.48692688199999995</v>
      </c>
      <c r="D23" s="9">
        <f t="shared" ca="1" si="1"/>
        <v>0</v>
      </c>
      <c r="E23" s="9">
        <v>0.32570359999999998</v>
      </c>
      <c r="F23" s="365">
        <f>IF(Ценообразование!$E$5=Справ!$I$14,Ценообразование!$F$5,G23)</f>
        <v>0.15</v>
      </c>
      <c r="G23" s="365">
        <f>IF(0&lt;COUNTIF(Петли!E:E,B23),НацПетли,SUMIF(ПМ!E:E,B23,ПМ!G:G))</f>
        <v>0.15</v>
      </c>
      <c r="H23" s="140">
        <f>IF(0&lt;COUNTIF(Петли!E:E,B23),3,IF(COUNTIFS(ПМ!E:E,B23,ПМ!B:B,Справ!$I$17)=1,1,IF(COUNTIFS(ПМ!E:E,B23,ПМ!B:B,Справ!$I$18)=1,2,0)))</f>
        <v>2</v>
      </c>
      <c r="I23" s="365">
        <f>IF(H23=1,IF(Ценообразование!$B$9=Справ!$I$11,Ценообразование!$C$9,G23),IF(H23=2,IF(Ценообразование!$E$9=Справ!$I$11,Ценообразование!$F$9,G23),IF(H23=3,НацПетли,0)))</f>
        <v>0.2</v>
      </c>
    </row>
    <row r="24" spans="2:13">
      <c r="B24" s="82" t="s">
        <v>148</v>
      </c>
      <c r="C24" s="184">
        <f t="shared" si="0"/>
        <v>30.214093519999995</v>
      </c>
      <c r="D24" s="9">
        <f t="shared" ca="1" si="1"/>
        <v>0</v>
      </c>
      <c r="E24" s="9">
        <v>20.210095999999997</v>
      </c>
      <c r="F24" s="365">
        <f>IF(Ценообразование!$E$5=Справ!$I$14,Ценообразование!$F$5,G24)</f>
        <v>0.15</v>
      </c>
      <c r="G24" s="365">
        <f>IF(0&lt;COUNTIF(Петли!E:E,B24),НацПетли,SUMIF(ПМ!E:E,B24,ПМ!G:G))</f>
        <v>0.15</v>
      </c>
      <c r="H24" s="140">
        <f>IF(0&lt;COUNTIF(Петли!E:E,B24),3,IF(COUNTIFS(ПМ!E:E,B24,ПМ!B:B,Справ!$I$17)=1,1,IF(COUNTIFS(ПМ!E:E,B24,ПМ!B:B,Справ!$I$18)=1,2,0)))</f>
        <v>1</v>
      </c>
      <c r="I24" s="365">
        <f>IF(H24=1,IF(Ценообразование!$B$9=Справ!$I$11,Ценообразование!$C$9,G24),IF(H24=2,IF(Ценообразование!$E$9=Справ!$I$11,Ценообразование!$F$9,G24),IF(H24=3,НацПетли,0)))</f>
        <v>0.2</v>
      </c>
    </row>
    <row r="25" spans="2:13">
      <c r="B25" s="82" t="s">
        <v>149</v>
      </c>
      <c r="C25" s="184">
        <f t="shared" si="0"/>
        <v>30.214093519999995</v>
      </c>
      <c r="D25" s="9">
        <f t="shared" ca="1" si="1"/>
        <v>0</v>
      </c>
      <c r="E25" s="9">
        <v>20.210095999999997</v>
      </c>
      <c r="F25" s="365">
        <f>IF(Ценообразование!$E$5=Справ!$I$14,Ценообразование!$F$5,G25)</f>
        <v>0.15</v>
      </c>
      <c r="G25" s="365">
        <f>IF(0&lt;COUNTIF(Петли!E:E,B25),НацПетли,SUMIF(ПМ!E:E,B25,ПМ!G:G))</f>
        <v>0.15</v>
      </c>
      <c r="H25" s="140">
        <f>IF(0&lt;COUNTIF(Петли!E:E,B25),3,IF(COUNTIFS(ПМ!E:E,B25,ПМ!B:B,Справ!$I$17)=1,1,IF(COUNTIFS(ПМ!E:E,B25,ПМ!B:B,Справ!$I$18)=1,2,0)))</f>
        <v>1</v>
      </c>
      <c r="I25" s="365">
        <f>IF(H25=1,IF(Ценообразование!$B$9=Справ!$I$11,Ценообразование!$C$9,G25),IF(H25=2,IF(Ценообразование!$E$9=Справ!$I$11,Ценообразование!$F$9,G25),IF(H25=3,НацПетли,0)))</f>
        <v>0.2</v>
      </c>
    </row>
    <row r="26" spans="2:13">
      <c r="B26" s="82" t="s">
        <v>151</v>
      </c>
      <c r="C26" s="184">
        <f t="shared" si="0"/>
        <v>30.214093519999995</v>
      </c>
      <c r="D26" s="9">
        <f t="shared" ca="1" si="1"/>
        <v>0</v>
      </c>
      <c r="E26" s="9">
        <v>20.210095999999997</v>
      </c>
      <c r="F26" s="365">
        <f>IF(Ценообразование!$E$5=Справ!$I$14,Ценообразование!$F$5,G26)</f>
        <v>0.15</v>
      </c>
      <c r="G26" s="365">
        <f>IF(0&lt;COUNTIF(Петли!E:E,B26),НацПетли,SUMIF(ПМ!E:E,B26,ПМ!G:G))</f>
        <v>0.15</v>
      </c>
      <c r="H26" s="140">
        <f>IF(0&lt;COUNTIF(Петли!E:E,B26),3,IF(COUNTIFS(ПМ!E:E,B26,ПМ!B:B,Справ!$I$17)=1,1,IF(COUNTIFS(ПМ!E:E,B26,ПМ!B:B,Справ!$I$18)=1,2,0)))</f>
        <v>1</v>
      </c>
      <c r="I26" s="365">
        <f>IF(H26=1,IF(Ценообразование!$B$9=Справ!$I$11,Ценообразование!$C$9,G26),IF(H26=2,IF(Ценообразование!$E$9=Справ!$I$11,Ценообразование!$F$9,G26),IF(H26=3,НацПетли,0)))</f>
        <v>0.2</v>
      </c>
    </row>
    <row r="27" spans="2:13">
      <c r="B27" s="82" t="s">
        <v>152</v>
      </c>
      <c r="C27" s="184">
        <f t="shared" si="0"/>
        <v>30.214093519999995</v>
      </c>
      <c r="D27" s="9">
        <f t="shared" ca="1" si="1"/>
        <v>0</v>
      </c>
      <c r="E27" s="9">
        <v>20.210095999999997</v>
      </c>
      <c r="F27" s="365">
        <f>IF(Ценообразование!$E$5=Справ!$I$14,Ценообразование!$F$5,G27)</f>
        <v>0.15</v>
      </c>
      <c r="G27" s="365">
        <f>IF(0&lt;COUNTIF(Петли!E:E,B27),НацПетли,SUMIF(ПМ!E:E,B27,ПМ!G:G))</f>
        <v>0.15</v>
      </c>
      <c r="H27" s="140">
        <f>IF(0&lt;COUNTIF(Петли!E:E,B27),3,IF(COUNTIFS(ПМ!E:E,B27,ПМ!B:B,Справ!$I$17)=1,1,IF(COUNTIFS(ПМ!E:E,B27,ПМ!B:B,Справ!$I$18)=1,2,0)))</f>
        <v>1</v>
      </c>
      <c r="I27" s="365">
        <f>IF(H27=1,IF(Ценообразование!$B$9=Справ!$I$11,Ценообразование!$C$9,G27),IF(H27=2,IF(Ценообразование!$E$9=Справ!$I$11,Ценообразование!$F$9,G27),IF(H27=3,НацПетли,0)))</f>
        <v>0.2</v>
      </c>
    </row>
    <row r="28" spans="2:13">
      <c r="B28" s="82" t="s">
        <v>154</v>
      </c>
      <c r="C28" s="184">
        <f t="shared" si="0"/>
        <v>30.214093519999995</v>
      </c>
      <c r="D28" s="9">
        <f t="shared" ca="1" si="1"/>
        <v>0</v>
      </c>
      <c r="E28" s="9">
        <v>20.210095999999997</v>
      </c>
      <c r="F28" s="365">
        <f>IF(Ценообразование!$E$5=Справ!$I$14,Ценообразование!$F$5,G28)</f>
        <v>0.15</v>
      </c>
      <c r="G28" s="365">
        <f>IF(0&lt;COUNTIF(Петли!E:E,B28),НацПетли,SUMIF(ПМ!E:E,B28,ПМ!G:G))</f>
        <v>0.15</v>
      </c>
      <c r="H28" s="140">
        <f>IF(0&lt;COUNTIF(Петли!E:E,B28),3,IF(COUNTIFS(ПМ!E:E,B28,ПМ!B:B,Справ!$I$17)=1,1,IF(COUNTIFS(ПМ!E:E,B28,ПМ!B:B,Справ!$I$18)=1,2,0)))</f>
        <v>1</v>
      </c>
      <c r="I28" s="365">
        <f>IF(H28=1,IF(Ценообразование!$B$9=Справ!$I$11,Ценообразование!$C$9,G28),IF(H28=2,IF(Ценообразование!$E$9=Справ!$I$11,Ценообразование!$F$9,G28),IF(H28=3,НацПетли,0)))</f>
        <v>0.2</v>
      </c>
    </row>
    <row r="29" spans="2:13">
      <c r="B29" s="82" t="s">
        <v>155</v>
      </c>
      <c r="C29" s="184">
        <f t="shared" si="0"/>
        <v>30.214093519999995</v>
      </c>
      <c r="D29" s="9">
        <f t="shared" ca="1" si="1"/>
        <v>0</v>
      </c>
      <c r="E29" s="9">
        <v>20.210095999999997</v>
      </c>
      <c r="F29" s="365">
        <f>IF(Ценообразование!$E$5=Справ!$I$14,Ценообразование!$F$5,G29)</f>
        <v>0.15</v>
      </c>
      <c r="G29" s="365">
        <f>IF(0&lt;COUNTIF(Петли!E:E,B29),НацПетли,SUMIF(ПМ!E:E,B29,ПМ!G:G))</f>
        <v>0.15</v>
      </c>
      <c r="H29" s="140">
        <f>IF(0&lt;COUNTIF(Петли!E:E,B29),3,IF(COUNTIFS(ПМ!E:E,B29,ПМ!B:B,Справ!$I$17)=1,1,IF(COUNTIFS(ПМ!E:E,B29,ПМ!B:B,Справ!$I$18)=1,2,0)))</f>
        <v>1</v>
      </c>
      <c r="I29" s="365">
        <f>IF(H29=1,IF(Ценообразование!$B$9=Справ!$I$11,Ценообразование!$C$9,G29),IF(H29=2,IF(Ценообразование!$E$9=Справ!$I$11,Ценообразование!$F$9,G29),IF(H29=3,НацПетли,0)))</f>
        <v>0.2</v>
      </c>
    </row>
    <row r="30" spans="2:13">
      <c r="B30" s="82" t="s">
        <v>157</v>
      </c>
      <c r="C30" s="184">
        <f t="shared" si="0"/>
        <v>30.214093519999995</v>
      </c>
      <c r="D30" s="9">
        <f t="shared" ca="1" si="1"/>
        <v>0</v>
      </c>
      <c r="E30" s="9">
        <v>20.210095999999997</v>
      </c>
      <c r="F30" s="365">
        <f>IF(Ценообразование!$E$5=Справ!$I$14,Ценообразование!$F$5,G30)</f>
        <v>0.15</v>
      </c>
      <c r="G30" s="365">
        <f>IF(0&lt;COUNTIF(Петли!E:E,B30),НацПетли,SUMIF(ПМ!E:E,B30,ПМ!G:G))</f>
        <v>0.15</v>
      </c>
      <c r="H30" s="140">
        <f>IF(0&lt;COUNTIF(Петли!E:E,B30),3,IF(COUNTIFS(ПМ!E:E,B30,ПМ!B:B,Справ!$I$17)=1,1,IF(COUNTIFS(ПМ!E:E,B30,ПМ!B:B,Справ!$I$18)=1,2,0)))</f>
        <v>1</v>
      </c>
      <c r="I30" s="365">
        <f>IF(H30=1,IF(Ценообразование!$B$9=Справ!$I$11,Ценообразование!$C$9,G30),IF(H30=2,IF(Ценообразование!$E$9=Справ!$I$11,Ценообразование!$F$9,G30),IF(H30=3,НацПетли,0)))</f>
        <v>0.2</v>
      </c>
    </row>
    <row r="31" spans="2:13">
      <c r="B31" s="82" t="s">
        <v>158</v>
      </c>
      <c r="C31" s="184">
        <f t="shared" si="0"/>
        <v>30.214093519999995</v>
      </c>
      <c r="D31" s="9">
        <f t="shared" ca="1" si="1"/>
        <v>0</v>
      </c>
      <c r="E31" s="9">
        <v>20.210095999999997</v>
      </c>
      <c r="F31" s="365">
        <f>IF(Ценообразование!$E$5=Справ!$I$14,Ценообразование!$F$5,G31)</f>
        <v>0.15</v>
      </c>
      <c r="G31" s="365">
        <f>IF(0&lt;COUNTIF(Петли!E:E,B31),НацПетли,SUMIF(ПМ!E:E,B31,ПМ!G:G))</f>
        <v>0.15</v>
      </c>
      <c r="H31" s="140">
        <f>IF(0&lt;COUNTIF(Петли!E:E,B31),3,IF(COUNTIFS(ПМ!E:E,B31,ПМ!B:B,Справ!$I$17)=1,1,IF(COUNTIFS(ПМ!E:E,B31,ПМ!B:B,Справ!$I$18)=1,2,0)))</f>
        <v>1</v>
      </c>
      <c r="I31" s="365">
        <f>IF(H31=1,IF(Ценообразование!$B$9=Справ!$I$11,Ценообразование!$C$9,G31),IF(H31=2,IF(Ценообразование!$E$9=Справ!$I$11,Ценообразование!$F$9,G31),IF(H31=3,НацПетли,0)))</f>
        <v>0.2</v>
      </c>
    </row>
    <row r="32" spans="2:13">
      <c r="B32" s="82" t="s">
        <v>25</v>
      </c>
      <c r="C32" s="184">
        <f t="shared" si="0"/>
        <v>30.214093519999995</v>
      </c>
      <c r="D32" s="9">
        <f t="shared" ca="1" si="1"/>
        <v>0</v>
      </c>
      <c r="E32" s="9">
        <v>20.210095999999997</v>
      </c>
      <c r="F32" s="365">
        <f>IF(Ценообразование!$E$5=Справ!$I$14,Ценообразование!$F$5,G32)</f>
        <v>0.15</v>
      </c>
      <c r="G32" s="365">
        <f>IF(0&lt;COUNTIF(Петли!E:E,B32),НацПетли,SUMIF(ПМ!E:E,B32,ПМ!G:G))</f>
        <v>0.15</v>
      </c>
      <c r="H32" s="140">
        <f>IF(0&lt;COUNTIF(Петли!E:E,B32),3,IF(COUNTIFS(ПМ!E:E,B32,ПМ!B:B,Справ!$I$17)=1,1,IF(COUNTIFS(ПМ!E:E,B32,ПМ!B:B,Справ!$I$18)=1,2,0)))</f>
        <v>1</v>
      </c>
      <c r="I32" s="365">
        <f>IF(H32=1,IF(Ценообразование!$B$9=Справ!$I$11,Ценообразование!$C$9,G32),IF(H32=2,IF(Ценообразование!$E$9=Справ!$I$11,Ценообразование!$F$9,G32),IF(H32=3,НацПетли,0)))</f>
        <v>0.2</v>
      </c>
    </row>
    <row r="33" spans="2:9">
      <c r="B33" s="82" t="s">
        <v>26</v>
      </c>
      <c r="C33" s="184">
        <f t="shared" si="0"/>
        <v>30.214093519999995</v>
      </c>
      <c r="D33" s="9">
        <f t="shared" ca="1" si="1"/>
        <v>0</v>
      </c>
      <c r="E33" s="9">
        <v>20.210095999999997</v>
      </c>
      <c r="F33" s="365">
        <f>IF(Ценообразование!$E$5=Справ!$I$14,Ценообразование!$F$5,G33)</f>
        <v>0.15</v>
      </c>
      <c r="G33" s="365">
        <f>IF(0&lt;COUNTIF(Петли!E:E,B33),НацПетли,SUMIF(ПМ!E:E,B33,ПМ!G:G))</f>
        <v>0.15</v>
      </c>
      <c r="H33" s="140">
        <f>IF(0&lt;COUNTIF(Петли!E:E,B33),3,IF(COUNTIFS(ПМ!E:E,B33,ПМ!B:B,Справ!$I$17)=1,1,IF(COUNTIFS(ПМ!E:E,B33,ПМ!B:B,Справ!$I$18)=1,2,0)))</f>
        <v>1</v>
      </c>
      <c r="I33" s="365">
        <f>IF(H33=1,IF(Ценообразование!$B$9=Справ!$I$11,Ценообразование!$C$9,G33),IF(H33=2,IF(Ценообразование!$E$9=Справ!$I$11,Ценообразование!$F$9,G33),IF(H33=3,НацПетли,0)))</f>
        <v>0.2</v>
      </c>
    </row>
    <row r="34" spans="2:9">
      <c r="B34" s="82" t="s">
        <v>206</v>
      </c>
      <c r="C34" s="184">
        <f t="shared" si="0"/>
        <v>2.9159514539999996</v>
      </c>
      <c r="D34" s="9">
        <f t="shared" ca="1" si="1"/>
        <v>0</v>
      </c>
      <c r="E34" s="9">
        <v>1.9504691999999999</v>
      </c>
      <c r="F34" s="365">
        <f>IF(Ценообразование!$E$5=Справ!$I$14,Ценообразование!$F$5,G34)</f>
        <v>0.15</v>
      </c>
      <c r="G34" s="365">
        <f>IF(0&lt;COUNTIF(Петли!E:E,B34),НацПетли,SUMIF(ПМ!E:E,B34,ПМ!G:G))</f>
        <v>0.15</v>
      </c>
      <c r="H34" s="140">
        <f>IF(0&lt;COUNTIF(Петли!E:E,B34),3,IF(COUNTIFS(ПМ!E:E,B34,ПМ!B:B,Справ!$I$17)=1,1,IF(COUNTIFS(ПМ!E:E,B34,ПМ!B:B,Справ!$I$18)=1,2,0)))</f>
        <v>2</v>
      </c>
      <c r="I34" s="365">
        <f>IF(H34=1,IF(Ценообразование!$B$9=Справ!$I$11,Ценообразование!$C$9,G34),IF(H34=2,IF(Ценообразование!$E$9=Справ!$I$11,Ценообразование!$F$9,G34),IF(H34=3,НацПетли,0)))</f>
        <v>0.2</v>
      </c>
    </row>
    <row r="35" spans="2:9">
      <c r="B35" s="82" t="s">
        <v>17</v>
      </c>
      <c r="C35" s="184">
        <f t="shared" si="0"/>
        <v>2.2425062789999997</v>
      </c>
      <c r="D35" s="9">
        <f t="shared" ca="1" si="1"/>
        <v>0</v>
      </c>
      <c r="E35" s="9">
        <v>1.5000042</v>
      </c>
      <c r="F35" s="365">
        <f>IF(Ценообразование!$E$5=Справ!$I$14,Ценообразование!$F$5,G35)</f>
        <v>0.15</v>
      </c>
      <c r="G35" s="365">
        <f>IF(0&lt;COUNTIF(Петли!E:E,B35),НацПетли,SUMIF(ПМ!E:E,B35,ПМ!G:G))</f>
        <v>0.15</v>
      </c>
      <c r="H35" s="140">
        <f>IF(0&lt;COUNTIF(Петли!E:E,B35),3,IF(COUNTIFS(ПМ!E:E,B35,ПМ!B:B,Справ!$I$17)=1,1,IF(COUNTIFS(ПМ!E:E,B35,ПМ!B:B,Справ!$I$18)=1,2,0)))</f>
        <v>2</v>
      </c>
      <c r="I35" s="365">
        <f>IF(H35=1,IF(Ценообразование!$B$9=Справ!$I$11,Ценообразование!$C$9,G35),IF(H35=2,IF(Ценообразование!$E$9=Справ!$I$11,Ценообразование!$F$9,G35),IF(H35=3,НацПетли,0)))</f>
        <v>0.2</v>
      </c>
    </row>
    <row r="36" spans="2:9">
      <c r="B36" s="82" t="s">
        <v>19</v>
      </c>
      <c r="C36" s="184">
        <f t="shared" ref="C36:C67" si="2">E36*(1+F36)*(1+РознНаценка*VLOOKUP(ФлагЦеныПрайса,ЦеныПрайса,2,0))</f>
        <v>1.6597534849999995</v>
      </c>
      <c r="D36" s="9">
        <f t="shared" ref="D36:D67" ca="1" si="3">C36*$D$2</f>
        <v>0</v>
      </c>
      <c r="E36" s="9">
        <v>1.1102029999999998</v>
      </c>
      <c r="F36" s="365">
        <f>IF(Ценообразование!$E$5=Справ!$I$14,Ценообразование!$F$5,G36)</f>
        <v>0.15</v>
      </c>
      <c r="G36" s="365">
        <f>IF(0&lt;COUNTIF(Петли!E:E,B36),НацПетли,SUMIF(ПМ!E:E,B36,ПМ!G:G))</f>
        <v>0.15</v>
      </c>
      <c r="H36" s="140">
        <f>IF(0&lt;COUNTIF(Петли!E:E,B36),3,IF(COUNTIFS(ПМ!E:E,B36,ПМ!B:B,Справ!$I$17)=1,1,IF(COUNTIFS(ПМ!E:E,B36,ПМ!B:B,Справ!$I$18)=1,2,0)))</f>
        <v>2</v>
      </c>
      <c r="I36" s="365">
        <f>IF(H36=1,IF(Ценообразование!$B$9=Справ!$I$11,Ценообразование!$C$9,G36),IF(H36=2,IF(Ценообразование!$E$9=Справ!$I$11,Ценообразование!$F$9,G36),IF(H36=3,НацПетли,0)))</f>
        <v>0.2</v>
      </c>
    </row>
    <row r="37" spans="2:9">
      <c r="B37" s="82" t="s">
        <v>194</v>
      </c>
      <c r="C37" s="184">
        <f t="shared" si="2"/>
        <v>2.921684779</v>
      </c>
      <c r="D37" s="9">
        <f t="shared" ca="1" si="3"/>
        <v>0</v>
      </c>
      <c r="E37" s="9">
        <v>1.9543041999999999</v>
      </c>
      <c r="F37" s="365">
        <f>IF(Ценообразование!$E$5=Справ!$I$14,Ценообразование!$F$5,G37)</f>
        <v>0.15</v>
      </c>
      <c r="G37" s="365">
        <f>IF(0&lt;COUNTIF(Петли!E:E,B37),НацПетли,SUMIF(ПМ!E:E,B37,ПМ!G:G))</f>
        <v>0.15</v>
      </c>
      <c r="H37" s="140">
        <f>IF(0&lt;COUNTIF(Петли!E:E,B37),3,IF(COUNTIFS(ПМ!E:E,B37,ПМ!B:B,Справ!$I$17)=1,1,IF(COUNTIFS(ПМ!E:E,B37,ПМ!B:B,Справ!$I$18)=1,2,0)))</f>
        <v>2</v>
      </c>
      <c r="I37" s="365">
        <f>IF(H37=1,IF(Ценообразование!$B$9=Справ!$I$11,Ценообразование!$C$9,G37),IF(H37=2,IF(Ценообразование!$E$9=Справ!$I$11,Ценообразование!$F$9,G37),IF(H37=3,НацПетли,0)))</f>
        <v>0.2</v>
      </c>
    </row>
    <row r="38" spans="2:9">
      <c r="B38" s="82" t="s">
        <v>192</v>
      </c>
      <c r="C38" s="184">
        <f t="shared" si="2"/>
        <v>1.968470985</v>
      </c>
      <c r="D38" s="9">
        <f t="shared" ca="1" si="3"/>
        <v>0</v>
      </c>
      <c r="E38" s="9">
        <v>1.316703</v>
      </c>
      <c r="F38" s="365">
        <f>IF(Ценообразование!$E$5=Справ!$I$14,Ценообразование!$F$5,G38)</f>
        <v>0.15</v>
      </c>
      <c r="G38" s="365">
        <f>IF(0&lt;COUNTIF(Петли!E:E,B38),НацПетли,SUMIF(ПМ!E:E,B38,ПМ!G:G))</f>
        <v>0.15</v>
      </c>
      <c r="H38" s="140">
        <f>IF(0&lt;COUNTIF(Петли!E:E,B38),3,IF(COUNTIFS(ПМ!E:E,B38,ПМ!B:B,Справ!$I$17)=1,1,IF(COUNTIFS(ПМ!E:E,B38,ПМ!B:B,Справ!$I$18)=1,2,0)))</f>
        <v>2</v>
      </c>
      <c r="I38" s="365">
        <f>IF(H38=1,IF(Ценообразование!$B$9=Справ!$I$11,Ценообразование!$C$9,G38),IF(H38=2,IF(Ценообразование!$E$9=Справ!$I$11,Ценообразование!$F$9,G38),IF(H38=3,НацПетли,0)))</f>
        <v>0.2</v>
      </c>
    </row>
    <row r="39" spans="2:9">
      <c r="B39" s="82" t="s">
        <v>24</v>
      </c>
      <c r="C39" s="184">
        <f t="shared" si="2"/>
        <v>28.001347607999996</v>
      </c>
      <c r="D39" s="9">
        <f t="shared" ca="1" si="3"/>
        <v>0</v>
      </c>
      <c r="E39" s="9">
        <v>18.729998399999999</v>
      </c>
      <c r="F39" s="365">
        <f>IF(Ценообразование!$E$5=Справ!$I$14,Ценообразование!$F$5,G39)</f>
        <v>0.15</v>
      </c>
      <c r="G39" s="365">
        <f>IF(0&lt;COUNTIF(Петли!E:E,B39),НацПетли,SUMIF(ПМ!E:E,B39,ПМ!G:G))</f>
        <v>0.15</v>
      </c>
      <c r="H39" s="140">
        <f>IF(0&lt;COUNTIF(Петли!E:E,B39),3,IF(COUNTIFS(ПМ!E:E,B39,ПМ!B:B,Справ!$I$17)=1,1,IF(COUNTIFS(ПМ!E:E,B39,ПМ!B:B,Справ!$I$18)=1,2,0)))</f>
        <v>1</v>
      </c>
      <c r="I39" s="365">
        <f>IF(H39=1,IF(Ценообразование!$B$9=Справ!$I$11,Ценообразование!$C$9,G39),IF(H39=2,IF(Ценообразование!$E$9=Справ!$I$11,Ценообразование!$F$9,G39),IF(H39=3,НацПетли,0)))</f>
        <v>0.2</v>
      </c>
    </row>
    <row r="40" spans="2:9">
      <c r="B40" s="82" t="s">
        <v>23</v>
      </c>
      <c r="C40" s="184">
        <f t="shared" si="2"/>
        <v>28.001347607999996</v>
      </c>
      <c r="D40" s="9">
        <f t="shared" ca="1" si="3"/>
        <v>0</v>
      </c>
      <c r="E40" s="9">
        <v>18.729998399999999</v>
      </c>
      <c r="F40" s="365">
        <f>IF(Ценообразование!$E$5=Справ!$I$14,Ценообразование!$F$5,G40)</f>
        <v>0.15</v>
      </c>
      <c r="G40" s="365">
        <f>IF(0&lt;COUNTIF(Петли!E:E,B40),НацПетли,SUMIF(ПМ!E:E,B40,ПМ!G:G))</f>
        <v>0.15</v>
      </c>
      <c r="H40" s="140">
        <f>IF(0&lt;COUNTIF(Петли!E:E,B40),3,IF(COUNTIFS(ПМ!E:E,B40,ПМ!B:B,Справ!$I$17)=1,1,IF(COUNTIFS(ПМ!E:E,B40,ПМ!B:B,Справ!$I$18)=1,2,0)))</f>
        <v>1</v>
      </c>
      <c r="I40" s="365">
        <f>IF(H40=1,IF(Ценообразование!$B$9=Справ!$I$11,Ценообразование!$C$9,G40),IF(H40=2,IF(Ценообразование!$E$9=Справ!$I$11,Ценообразование!$F$9,G40),IF(H40=3,НацПетли,0)))</f>
        <v>0.2</v>
      </c>
    </row>
    <row r="41" spans="2:9">
      <c r="B41" s="82" t="s">
        <v>92</v>
      </c>
      <c r="C41" s="184">
        <f t="shared" si="2"/>
        <v>28.001347607999996</v>
      </c>
      <c r="D41" s="9">
        <f t="shared" ca="1" si="3"/>
        <v>0</v>
      </c>
      <c r="E41" s="9">
        <v>18.729998399999999</v>
      </c>
      <c r="F41" s="365">
        <f>IF(Ценообразование!$E$5=Справ!$I$14,Ценообразование!$F$5,G41)</f>
        <v>0.15</v>
      </c>
      <c r="G41" s="365">
        <f>IF(0&lt;COUNTIF(Петли!E:E,B41),НацПетли,SUMIF(ПМ!E:E,B41,ПМ!G:G))</f>
        <v>0.15</v>
      </c>
      <c r="H41" s="140">
        <f>IF(0&lt;COUNTIF(Петли!E:E,B41),3,IF(COUNTIFS(ПМ!E:E,B41,ПМ!B:B,Справ!$I$17)=1,1,IF(COUNTIFS(ПМ!E:E,B41,ПМ!B:B,Справ!$I$18)=1,2,0)))</f>
        <v>1</v>
      </c>
      <c r="I41" s="365">
        <f>IF(H41=1,IF(Ценообразование!$B$9=Справ!$I$11,Ценообразование!$C$9,G41),IF(H41=2,IF(Ценообразование!$E$9=Справ!$I$11,Ценообразование!$F$9,G41),IF(H41=3,НацПетли,0)))</f>
        <v>0.2</v>
      </c>
    </row>
    <row r="42" spans="2:9">
      <c r="B42" s="82" t="s">
        <v>94</v>
      </c>
      <c r="C42" s="184">
        <f t="shared" si="2"/>
        <v>28.001347607999996</v>
      </c>
      <c r="D42" s="9">
        <f t="shared" ca="1" si="3"/>
        <v>0</v>
      </c>
      <c r="E42" s="9">
        <v>18.729998399999999</v>
      </c>
      <c r="F42" s="365">
        <f>IF(Ценообразование!$E$5=Справ!$I$14,Ценообразование!$F$5,G42)</f>
        <v>0.15</v>
      </c>
      <c r="G42" s="365">
        <f>IF(0&lt;COUNTIF(Петли!E:E,B42),НацПетли,SUMIF(ПМ!E:E,B42,ПМ!G:G))</f>
        <v>0.15</v>
      </c>
      <c r="H42" s="140">
        <f>IF(0&lt;COUNTIF(Петли!E:E,B42),3,IF(COUNTIFS(ПМ!E:E,B42,ПМ!B:B,Справ!$I$17)=1,1,IF(COUNTIFS(ПМ!E:E,B42,ПМ!B:B,Справ!$I$18)=1,2,0)))</f>
        <v>1</v>
      </c>
      <c r="I42" s="365">
        <f>IF(H42=1,IF(Ценообразование!$B$9=Справ!$I$11,Ценообразование!$C$9,G42),IF(H42=2,IF(Ценообразование!$E$9=Справ!$I$11,Ценообразование!$F$9,G42),IF(H42=3,НацПетли,0)))</f>
        <v>0.2</v>
      </c>
    </row>
    <row r="43" spans="2:9">
      <c r="B43" s="82" t="s">
        <v>95</v>
      </c>
      <c r="C43" s="184">
        <f t="shared" si="2"/>
        <v>28.001347607999996</v>
      </c>
      <c r="D43" s="9">
        <f t="shared" ca="1" si="3"/>
        <v>0</v>
      </c>
      <c r="E43" s="9">
        <v>18.729998399999999</v>
      </c>
      <c r="F43" s="365">
        <f>IF(Ценообразование!$E$5=Справ!$I$14,Ценообразование!$F$5,G43)</f>
        <v>0.15</v>
      </c>
      <c r="G43" s="365">
        <f>IF(0&lt;COUNTIF(Петли!E:E,B43),НацПетли,SUMIF(ПМ!E:E,B43,ПМ!G:G))</f>
        <v>0.15</v>
      </c>
      <c r="H43" s="140">
        <f>IF(0&lt;COUNTIF(Петли!E:E,B43),3,IF(COUNTIFS(ПМ!E:E,B43,ПМ!B:B,Справ!$I$17)=1,1,IF(COUNTIFS(ПМ!E:E,B43,ПМ!B:B,Справ!$I$18)=1,2,0)))</f>
        <v>1</v>
      </c>
      <c r="I43" s="365">
        <f>IF(H43=1,IF(Ценообразование!$B$9=Справ!$I$11,Ценообразование!$C$9,G43),IF(H43=2,IF(Ценообразование!$E$9=Справ!$I$11,Ценообразование!$F$9,G43),IF(H43=3,НацПетли,0)))</f>
        <v>0.2</v>
      </c>
    </row>
    <row r="44" spans="2:9">
      <c r="B44" s="82" t="s">
        <v>97</v>
      </c>
      <c r="C44" s="184">
        <f t="shared" si="2"/>
        <v>28.001347607999996</v>
      </c>
      <c r="D44" s="9">
        <f t="shared" ca="1" si="3"/>
        <v>0</v>
      </c>
      <c r="E44" s="9">
        <v>18.729998399999999</v>
      </c>
      <c r="F44" s="365">
        <f>IF(Ценообразование!$E$5=Справ!$I$14,Ценообразование!$F$5,G44)</f>
        <v>0.15</v>
      </c>
      <c r="G44" s="365">
        <f>IF(0&lt;COUNTIF(Петли!E:E,B44),НацПетли,SUMIF(ПМ!E:E,B44,ПМ!G:G))</f>
        <v>0.15</v>
      </c>
      <c r="H44" s="140">
        <f>IF(0&lt;COUNTIF(Петли!E:E,B44),3,IF(COUNTIFS(ПМ!E:E,B44,ПМ!B:B,Справ!$I$17)=1,1,IF(COUNTIFS(ПМ!E:E,B44,ПМ!B:B,Справ!$I$18)=1,2,0)))</f>
        <v>1</v>
      </c>
      <c r="I44" s="365">
        <f>IF(H44=1,IF(Ценообразование!$B$9=Справ!$I$11,Ценообразование!$C$9,G44),IF(H44=2,IF(Ценообразование!$E$9=Справ!$I$11,Ценообразование!$F$9,G44),IF(H44=3,НацПетли,0)))</f>
        <v>0.2</v>
      </c>
    </row>
    <row r="45" spans="2:9">
      <c r="B45" s="82" t="s">
        <v>98</v>
      </c>
      <c r="C45" s="184">
        <f t="shared" si="2"/>
        <v>28.001347607999996</v>
      </c>
      <c r="D45" s="9">
        <f t="shared" ca="1" si="3"/>
        <v>0</v>
      </c>
      <c r="E45" s="9">
        <v>18.729998399999999</v>
      </c>
      <c r="F45" s="365">
        <f>IF(Ценообразование!$E$5=Справ!$I$14,Ценообразование!$F$5,G45)</f>
        <v>0.15</v>
      </c>
      <c r="G45" s="365">
        <f>IF(0&lt;COUNTIF(Петли!E:E,B45),НацПетли,SUMIF(ПМ!E:E,B45,ПМ!G:G))</f>
        <v>0.15</v>
      </c>
      <c r="H45" s="140">
        <f>IF(0&lt;COUNTIF(Петли!E:E,B45),3,IF(COUNTIFS(ПМ!E:E,B45,ПМ!B:B,Справ!$I$17)=1,1,IF(COUNTIFS(ПМ!E:E,B45,ПМ!B:B,Справ!$I$18)=1,2,0)))</f>
        <v>1</v>
      </c>
      <c r="I45" s="365">
        <f>IF(H45=1,IF(Ценообразование!$B$9=Справ!$I$11,Ценообразование!$C$9,G45),IF(H45=2,IF(Ценообразование!$E$9=Справ!$I$11,Ценообразование!$F$9,G45),IF(H45=3,НацПетли,0)))</f>
        <v>0.2</v>
      </c>
    </row>
    <row r="46" spans="2:9">
      <c r="B46" s="82" t="s">
        <v>100</v>
      </c>
      <c r="C46" s="184">
        <f t="shared" si="2"/>
        <v>28.001347607999996</v>
      </c>
      <c r="D46" s="9">
        <f t="shared" ca="1" si="3"/>
        <v>0</v>
      </c>
      <c r="E46" s="9">
        <v>18.729998399999999</v>
      </c>
      <c r="F46" s="365">
        <f>IF(Ценообразование!$E$5=Справ!$I$14,Ценообразование!$F$5,G46)</f>
        <v>0.15</v>
      </c>
      <c r="G46" s="365">
        <f>IF(0&lt;COUNTIF(Петли!E:E,B46),НацПетли,SUMIF(ПМ!E:E,B46,ПМ!G:G))</f>
        <v>0.15</v>
      </c>
      <c r="H46" s="140">
        <f>IF(0&lt;COUNTIF(Петли!E:E,B46),3,IF(COUNTIFS(ПМ!E:E,B46,ПМ!B:B,Справ!$I$17)=1,1,IF(COUNTIFS(ПМ!E:E,B46,ПМ!B:B,Справ!$I$18)=1,2,0)))</f>
        <v>1</v>
      </c>
      <c r="I46" s="365">
        <f>IF(H46=1,IF(Ценообразование!$B$9=Справ!$I$11,Ценообразование!$C$9,G46),IF(H46=2,IF(Ценообразование!$E$9=Справ!$I$11,Ценообразование!$F$9,G46),IF(H46=3,НацПетли,0)))</f>
        <v>0.2</v>
      </c>
    </row>
    <row r="47" spans="2:9">
      <c r="B47" s="82" t="s">
        <v>101</v>
      </c>
      <c r="C47" s="184">
        <f t="shared" si="2"/>
        <v>28.001347607999996</v>
      </c>
      <c r="D47" s="9">
        <f t="shared" ca="1" si="3"/>
        <v>0</v>
      </c>
      <c r="E47" s="9">
        <v>18.729998399999999</v>
      </c>
      <c r="F47" s="365">
        <f>IF(Ценообразование!$E$5=Справ!$I$14,Ценообразование!$F$5,G47)</f>
        <v>0.15</v>
      </c>
      <c r="G47" s="365">
        <f>IF(0&lt;COUNTIF(Петли!E:E,B47),НацПетли,SUMIF(ПМ!E:E,B47,ПМ!G:G))</f>
        <v>0.15</v>
      </c>
      <c r="H47" s="140">
        <f>IF(0&lt;COUNTIF(Петли!E:E,B47),3,IF(COUNTIFS(ПМ!E:E,B47,ПМ!B:B,Справ!$I$17)=1,1,IF(COUNTIFS(ПМ!E:E,B47,ПМ!B:B,Справ!$I$18)=1,2,0)))</f>
        <v>1</v>
      </c>
      <c r="I47" s="365">
        <f>IF(H47=1,IF(Ценообразование!$B$9=Справ!$I$11,Ценообразование!$C$9,G47),IF(H47=2,IF(Ценообразование!$E$9=Справ!$I$11,Ценообразование!$F$9,G47),IF(H47=3,НацПетли,0)))</f>
        <v>0.2</v>
      </c>
    </row>
    <row r="48" spans="2:9">
      <c r="B48" s="82" t="s">
        <v>103</v>
      </c>
      <c r="C48" s="184">
        <f t="shared" si="2"/>
        <v>28.001347607999996</v>
      </c>
      <c r="D48" s="9">
        <f t="shared" ca="1" si="3"/>
        <v>0</v>
      </c>
      <c r="E48" s="9">
        <v>18.729998399999999</v>
      </c>
      <c r="F48" s="365">
        <f>IF(Ценообразование!$E$5=Справ!$I$14,Ценообразование!$F$5,G48)</f>
        <v>0.15</v>
      </c>
      <c r="G48" s="365">
        <f>IF(0&lt;COUNTIF(Петли!E:E,B48),НацПетли,SUMIF(ПМ!E:E,B48,ПМ!G:G))</f>
        <v>0.15</v>
      </c>
      <c r="H48" s="140">
        <f>IF(0&lt;COUNTIF(Петли!E:E,B48),3,IF(COUNTIFS(ПМ!E:E,B48,ПМ!B:B,Справ!$I$17)=1,1,IF(COUNTIFS(ПМ!E:E,B48,ПМ!B:B,Справ!$I$18)=1,2,0)))</f>
        <v>1</v>
      </c>
      <c r="I48" s="365">
        <f>IF(H48=1,IF(Ценообразование!$B$9=Справ!$I$11,Ценообразование!$C$9,G48),IF(H48=2,IF(Ценообразование!$E$9=Справ!$I$11,Ценообразование!$F$9,G48),IF(H48=3,НацПетли,0)))</f>
        <v>0.2</v>
      </c>
    </row>
    <row r="49" spans="2:9">
      <c r="B49" s="82" t="s">
        <v>104</v>
      </c>
      <c r="C49" s="184">
        <f t="shared" si="2"/>
        <v>28.001347607999996</v>
      </c>
      <c r="D49" s="9">
        <f t="shared" ca="1" si="3"/>
        <v>0</v>
      </c>
      <c r="E49" s="9">
        <v>18.729998399999999</v>
      </c>
      <c r="F49" s="365">
        <f>IF(Ценообразование!$E$5=Справ!$I$14,Ценообразование!$F$5,G49)</f>
        <v>0.15</v>
      </c>
      <c r="G49" s="365">
        <f>IF(0&lt;COUNTIF(Петли!E:E,B49),НацПетли,SUMIF(ПМ!E:E,B49,ПМ!G:G))</f>
        <v>0.15</v>
      </c>
      <c r="H49" s="140">
        <f>IF(0&lt;COUNTIF(Петли!E:E,B49),3,IF(COUNTIFS(ПМ!E:E,B49,ПМ!B:B,Справ!$I$17)=1,1,IF(COUNTIFS(ПМ!E:E,B49,ПМ!B:B,Справ!$I$18)=1,2,0)))</f>
        <v>1</v>
      </c>
      <c r="I49" s="365">
        <f>IF(H49=1,IF(Ценообразование!$B$9=Справ!$I$11,Ценообразование!$C$9,G49),IF(H49=2,IF(Ценообразование!$E$9=Справ!$I$11,Ценообразование!$F$9,G49),IF(H49=3,НацПетли,0)))</f>
        <v>0.2</v>
      </c>
    </row>
    <row r="50" spans="2:9">
      <c r="B50" s="82" t="s">
        <v>106</v>
      </c>
      <c r="C50" s="184">
        <f t="shared" si="2"/>
        <v>28.001347607999996</v>
      </c>
      <c r="D50" s="9">
        <f t="shared" ca="1" si="3"/>
        <v>0</v>
      </c>
      <c r="E50" s="9">
        <v>18.729998399999999</v>
      </c>
      <c r="F50" s="365">
        <f>IF(Ценообразование!$E$5=Справ!$I$14,Ценообразование!$F$5,G50)</f>
        <v>0.15</v>
      </c>
      <c r="G50" s="365">
        <f>IF(0&lt;COUNTIF(Петли!E:E,B50),НацПетли,SUMIF(ПМ!E:E,B50,ПМ!G:G))</f>
        <v>0.15</v>
      </c>
      <c r="H50" s="140">
        <f>IF(0&lt;COUNTIF(Петли!E:E,B50),3,IF(COUNTIFS(ПМ!E:E,B50,ПМ!B:B,Справ!$I$17)=1,1,IF(COUNTIFS(ПМ!E:E,B50,ПМ!B:B,Справ!$I$18)=1,2,0)))</f>
        <v>1</v>
      </c>
      <c r="I50" s="365">
        <f>IF(H50=1,IF(Ценообразование!$B$9=Справ!$I$11,Ценообразование!$C$9,G50),IF(H50=2,IF(Ценообразование!$E$9=Справ!$I$11,Ценообразование!$F$9,G50),IF(H50=3,НацПетли,0)))</f>
        <v>0.2</v>
      </c>
    </row>
    <row r="51" spans="2:9">
      <c r="B51" s="82" t="s">
        <v>107</v>
      </c>
      <c r="C51" s="184">
        <f t="shared" si="2"/>
        <v>28.001347607999996</v>
      </c>
      <c r="D51" s="9">
        <f t="shared" ca="1" si="3"/>
        <v>0</v>
      </c>
      <c r="E51" s="9">
        <v>18.729998399999999</v>
      </c>
      <c r="F51" s="365">
        <f>IF(Ценообразование!$E$5=Справ!$I$14,Ценообразование!$F$5,G51)</f>
        <v>0.15</v>
      </c>
      <c r="G51" s="365">
        <f>IF(0&lt;COUNTIF(Петли!E:E,B51),НацПетли,SUMIF(ПМ!E:E,B51,ПМ!G:G))</f>
        <v>0.15</v>
      </c>
      <c r="H51" s="140">
        <f>IF(0&lt;COUNTIF(Петли!E:E,B51),3,IF(COUNTIFS(ПМ!E:E,B51,ПМ!B:B,Справ!$I$17)=1,1,IF(COUNTIFS(ПМ!E:E,B51,ПМ!B:B,Справ!$I$18)=1,2,0)))</f>
        <v>1</v>
      </c>
      <c r="I51" s="365">
        <f>IF(H51=1,IF(Ценообразование!$B$9=Справ!$I$11,Ценообразование!$C$9,G51),IF(H51=2,IF(Ценообразование!$E$9=Справ!$I$11,Ценообразование!$F$9,G51),IF(H51=3,НацПетли,0)))</f>
        <v>0.2</v>
      </c>
    </row>
    <row r="52" spans="2:9">
      <c r="B52" s="82" t="s">
        <v>109</v>
      </c>
      <c r="C52" s="184">
        <f t="shared" si="2"/>
        <v>28.001347607999996</v>
      </c>
      <c r="D52" s="9">
        <f t="shared" ca="1" si="3"/>
        <v>0</v>
      </c>
      <c r="E52" s="9">
        <v>18.729998399999999</v>
      </c>
      <c r="F52" s="365">
        <f>IF(Ценообразование!$E$5=Справ!$I$14,Ценообразование!$F$5,G52)</f>
        <v>0.15</v>
      </c>
      <c r="G52" s="365">
        <f>IF(0&lt;COUNTIF(Петли!E:E,B52),НацПетли,SUMIF(ПМ!E:E,B52,ПМ!G:G))</f>
        <v>0.15</v>
      </c>
      <c r="H52" s="140">
        <f>IF(0&lt;COUNTIF(Петли!E:E,B52),3,IF(COUNTIFS(ПМ!E:E,B52,ПМ!B:B,Справ!$I$17)=1,1,IF(COUNTIFS(ПМ!E:E,B52,ПМ!B:B,Справ!$I$18)=1,2,0)))</f>
        <v>1</v>
      </c>
      <c r="I52" s="365">
        <f>IF(H52=1,IF(Ценообразование!$B$9=Справ!$I$11,Ценообразование!$C$9,G52),IF(H52=2,IF(Ценообразование!$E$9=Справ!$I$11,Ценообразование!$F$9,G52),IF(H52=3,НацПетли,0)))</f>
        <v>0.2</v>
      </c>
    </row>
    <row r="53" spans="2:9">
      <c r="B53" s="82" t="s">
        <v>110</v>
      </c>
      <c r="C53" s="184">
        <f t="shared" si="2"/>
        <v>28.001347607999996</v>
      </c>
      <c r="D53" s="9">
        <f t="shared" ca="1" si="3"/>
        <v>0</v>
      </c>
      <c r="E53" s="9">
        <v>18.729998399999999</v>
      </c>
      <c r="F53" s="365">
        <f>IF(Ценообразование!$E$5=Справ!$I$14,Ценообразование!$F$5,G53)</f>
        <v>0.15</v>
      </c>
      <c r="G53" s="365">
        <f>IF(0&lt;COUNTIF(Петли!E:E,B53),НацПетли,SUMIF(ПМ!E:E,B53,ПМ!G:G))</f>
        <v>0.15</v>
      </c>
      <c r="H53" s="140">
        <f>IF(0&lt;COUNTIF(Петли!E:E,B53),3,IF(COUNTIFS(ПМ!E:E,B53,ПМ!B:B,Справ!$I$17)=1,1,IF(COUNTIFS(ПМ!E:E,B53,ПМ!B:B,Справ!$I$18)=1,2,0)))</f>
        <v>1</v>
      </c>
      <c r="I53" s="365">
        <f>IF(H53=1,IF(Ценообразование!$B$9=Справ!$I$11,Ценообразование!$C$9,G53),IF(H53=2,IF(Ценообразование!$E$9=Справ!$I$11,Ценообразование!$F$9,G53),IF(H53=3,НацПетли,0)))</f>
        <v>0.2</v>
      </c>
    </row>
    <row r="54" spans="2:9">
      <c r="B54" s="82" t="s">
        <v>112</v>
      </c>
      <c r="C54" s="184">
        <f t="shared" si="2"/>
        <v>28.001347607999996</v>
      </c>
      <c r="D54" s="9">
        <f t="shared" ca="1" si="3"/>
        <v>0</v>
      </c>
      <c r="E54" s="9">
        <v>18.729998399999999</v>
      </c>
      <c r="F54" s="365">
        <f>IF(Ценообразование!$E$5=Справ!$I$14,Ценообразование!$F$5,G54)</f>
        <v>0.15</v>
      </c>
      <c r="G54" s="365">
        <f>IF(0&lt;COUNTIF(Петли!E:E,B54),НацПетли,SUMIF(ПМ!E:E,B54,ПМ!G:G))</f>
        <v>0.15</v>
      </c>
      <c r="H54" s="140">
        <f>IF(0&lt;COUNTIF(Петли!E:E,B54),3,IF(COUNTIFS(ПМ!E:E,B54,ПМ!B:B,Справ!$I$17)=1,1,IF(COUNTIFS(ПМ!E:E,B54,ПМ!B:B,Справ!$I$18)=1,2,0)))</f>
        <v>1</v>
      </c>
      <c r="I54" s="365">
        <f>IF(H54=1,IF(Ценообразование!$B$9=Справ!$I$11,Ценообразование!$C$9,G54),IF(H54=2,IF(Ценообразование!$E$9=Справ!$I$11,Ценообразование!$F$9,G54),IF(H54=3,НацПетли,0)))</f>
        <v>0.2</v>
      </c>
    </row>
    <row r="55" spans="2:9">
      <c r="B55" s="82" t="s">
        <v>113</v>
      </c>
      <c r="C55" s="184">
        <f t="shared" si="2"/>
        <v>28.001347607999996</v>
      </c>
      <c r="D55" s="9">
        <f t="shared" ca="1" si="3"/>
        <v>0</v>
      </c>
      <c r="E55" s="9">
        <v>18.729998399999999</v>
      </c>
      <c r="F55" s="365">
        <f>IF(Ценообразование!$E$5=Справ!$I$14,Ценообразование!$F$5,G55)</f>
        <v>0.15</v>
      </c>
      <c r="G55" s="365">
        <f>IF(0&lt;COUNTIF(Петли!E:E,B55),НацПетли,SUMIF(ПМ!E:E,B55,ПМ!G:G))</f>
        <v>0.15</v>
      </c>
      <c r="H55" s="140">
        <f>IF(0&lt;COUNTIF(Петли!E:E,B55),3,IF(COUNTIFS(ПМ!E:E,B55,ПМ!B:B,Справ!$I$17)=1,1,IF(COUNTIFS(ПМ!E:E,B55,ПМ!B:B,Справ!$I$18)=1,2,0)))</f>
        <v>1</v>
      </c>
      <c r="I55" s="365">
        <f>IF(H55=1,IF(Ценообразование!$B$9=Справ!$I$11,Ценообразование!$C$9,G55),IF(H55=2,IF(Ценообразование!$E$9=Справ!$I$11,Ценообразование!$F$9,G55),IF(H55=3,НацПетли,0)))</f>
        <v>0.2</v>
      </c>
    </row>
    <row r="56" spans="2:9">
      <c r="B56" s="82" t="s">
        <v>115</v>
      </c>
      <c r="C56" s="184">
        <f t="shared" si="2"/>
        <v>28.001347607999996</v>
      </c>
      <c r="D56" s="9">
        <f t="shared" ca="1" si="3"/>
        <v>0</v>
      </c>
      <c r="E56" s="9">
        <v>18.729998399999999</v>
      </c>
      <c r="F56" s="365">
        <f>IF(Ценообразование!$E$5=Справ!$I$14,Ценообразование!$F$5,G56)</f>
        <v>0.15</v>
      </c>
      <c r="G56" s="365">
        <f>IF(0&lt;COUNTIF(Петли!E:E,B56),НацПетли,SUMIF(ПМ!E:E,B56,ПМ!G:G))</f>
        <v>0.15</v>
      </c>
      <c r="H56" s="140">
        <f>IF(0&lt;COUNTIF(Петли!E:E,B56),3,IF(COUNTIFS(ПМ!E:E,B56,ПМ!B:B,Справ!$I$17)=1,1,IF(COUNTIFS(ПМ!E:E,B56,ПМ!B:B,Справ!$I$18)=1,2,0)))</f>
        <v>1</v>
      </c>
      <c r="I56" s="365">
        <f>IF(H56=1,IF(Ценообразование!$B$9=Справ!$I$11,Ценообразование!$C$9,G56),IF(H56=2,IF(Ценообразование!$E$9=Справ!$I$11,Ценообразование!$F$9,G56),IF(H56=3,НацПетли,0)))</f>
        <v>0.2</v>
      </c>
    </row>
    <row r="57" spans="2:9">
      <c r="B57" s="82" t="s">
        <v>116</v>
      </c>
      <c r="C57" s="184">
        <f t="shared" si="2"/>
        <v>28.001347607999996</v>
      </c>
      <c r="D57" s="9">
        <f t="shared" ca="1" si="3"/>
        <v>0</v>
      </c>
      <c r="E57" s="9">
        <v>18.729998399999999</v>
      </c>
      <c r="F57" s="365">
        <f>IF(Ценообразование!$E$5=Справ!$I$14,Ценообразование!$F$5,G57)</f>
        <v>0.15</v>
      </c>
      <c r="G57" s="365">
        <f>IF(0&lt;COUNTIF(Петли!E:E,B57),НацПетли,SUMIF(ПМ!E:E,B57,ПМ!G:G))</f>
        <v>0.15</v>
      </c>
      <c r="H57" s="140">
        <f>IF(0&lt;COUNTIF(Петли!E:E,B57),3,IF(COUNTIFS(ПМ!E:E,B57,ПМ!B:B,Справ!$I$17)=1,1,IF(COUNTIFS(ПМ!E:E,B57,ПМ!B:B,Справ!$I$18)=1,2,0)))</f>
        <v>1</v>
      </c>
      <c r="I57" s="365">
        <f>IF(H57=1,IF(Ценообразование!$B$9=Справ!$I$11,Ценообразование!$C$9,G57),IF(H57=2,IF(Ценообразование!$E$9=Справ!$I$11,Ценообразование!$F$9,G57),IF(H57=3,НацПетли,0)))</f>
        <v>0.2</v>
      </c>
    </row>
    <row r="58" spans="2:9">
      <c r="B58" s="82" t="s">
        <v>118</v>
      </c>
      <c r="C58" s="184">
        <f t="shared" si="2"/>
        <v>28.001347607999996</v>
      </c>
      <c r="D58" s="9">
        <f t="shared" ca="1" si="3"/>
        <v>0</v>
      </c>
      <c r="E58" s="9">
        <v>18.729998399999999</v>
      </c>
      <c r="F58" s="365">
        <f>IF(Ценообразование!$E$5=Справ!$I$14,Ценообразование!$F$5,G58)</f>
        <v>0.15</v>
      </c>
      <c r="G58" s="365">
        <f>IF(0&lt;COUNTIF(Петли!E:E,B58),НацПетли,SUMIF(ПМ!E:E,B58,ПМ!G:G))</f>
        <v>0.15</v>
      </c>
      <c r="H58" s="140">
        <f>IF(0&lt;COUNTIF(Петли!E:E,B58),3,IF(COUNTIFS(ПМ!E:E,B58,ПМ!B:B,Справ!$I$17)=1,1,IF(COUNTIFS(ПМ!E:E,B58,ПМ!B:B,Справ!$I$18)=1,2,0)))</f>
        <v>1</v>
      </c>
      <c r="I58" s="365">
        <f>IF(H58=1,IF(Ценообразование!$B$9=Справ!$I$11,Ценообразование!$C$9,G58),IF(H58=2,IF(Ценообразование!$E$9=Справ!$I$11,Ценообразование!$F$9,G58),IF(H58=3,НацПетли,0)))</f>
        <v>0.2</v>
      </c>
    </row>
    <row r="59" spans="2:9">
      <c r="B59" s="82" t="s">
        <v>119</v>
      </c>
      <c r="C59" s="184">
        <f t="shared" si="2"/>
        <v>28.001347607999996</v>
      </c>
      <c r="D59" s="9">
        <f t="shared" ca="1" si="3"/>
        <v>0</v>
      </c>
      <c r="E59" s="9">
        <v>18.729998399999999</v>
      </c>
      <c r="F59" s="365">
        <f>IF(Ценообразование!$E$5=Справ!$I$14,Ценообразование!$F$5,G59)</f>
        <v>0.15</v>
      </c>
      <c r="G59" s="365">
        <f>IF(0&lt;COUNTIF(Петли!E:E,B59),НацПетли,SUMIF(ПМ!E:E,B59,ПМ!G:G))</f>
        <v>0.15</v>
      </c>
      <c r="H59" s="140">
        <f>IF(0&lt;COUNTIF(Петли!E:E,B59),3,IF(COUNTIFS(ПМ!E:E,B59,ПМ!B:B,Справ!$I$17)=1,1,IF(COUNTIFS(ПМ!E:E,B59,ПМ!B:B,Справ!$I$18)=1,2,0)))</f>
        <v>1</v>
      </c>
      <c r="I59" s="365">
        <f>IF(H59=1,IF(Ценообразование!$B$9=Справ!$I$11,Ценообразование!$C$9,G59),IF(H59=2,IF(Ценообразование!$E$9=Справ!$I$11,Ценообразование!$F$9,G59),IF(H59=3,НацПетли,0)))</f>
        <v>0.2</v>
      </c>
    </row>
    <row r="60" spans="2:9">
      <c r="B60" s="82" t="s">
        <v>121</v>
      </c>
      <c r="C60" s="184">
        <f t="shared" si="2"/>
        <v>28.001347607999996</v>
      </c>
      <c r="D60" s="9">
        <f t="shared" ca="1" si="3"/>
        <v>0</v>
      </c>
      <c r="E60" s="9">
        <v>18.729998399999999</v>
      </c>
      <c r="F60" s="365">
        <f>IF(Ценообразование!$E$5=Справ!$I$14,Ценообразование!$F$5,G60)</f>
        <v>0.15</v>
      </c>
      <c r="G60" s="365">
        <f>IF(0&lt;COUNTIF(Петли!E:E,B60),НацПетли,SUMIF(ПМ!E:E,B60,ПМ!G:G))</f>
        <v>0.15</v>
      </c>
      <c r="H60" s="140">
        <f>IF(0&lt;COUNTIF(Петли!E:E,B60),3,IF(COUNTIFS(ПМ!E:E,B60,ПМ!B:B,Справ!$I$17)=1,1,IF(COUNTIFS(ПМ!E:E,B60,ПМ!B:B,Справ!$I$18)=1,2,0)))</f>
        <v>1</v>
      </c>
      <c r="I60" s="365">
        <f>IF(H60=1,IF(Ценообразование!$B$9=Справ!$I$11,Ценообразование!$C$9,G60),IF(H60=2,IF(Ценообразование!$E$9=Справ!$I$11,Ценообразование!$F$9,G60),IF(H60=3,НацПетли,0)))</f>
        <v>0.2</v>
      </c>
    </row>
    <row r="61" spans="2:9">
      <c r="B61" s="82" t="s">
        <v>219</v>
      </c>
      <c r="C61" s="184">
        <f t="shared" si="2"/>
        <v>28.001347607999996</v>
      </c>
      <c r="D61" s="9">
        <f t="shared" ca="1" si="3"/>
        <v>0</v>
      </c>
      <c r="E61" s="9">
        <v>18.729998399999999</v>
      </c>
      <c r="F61" s="365">
        <f>IF(Ценообразование!$E$5=Справ!$I$14,Ценообразование!$F$5,G61)</f>
        <v>0.15</v>
      </c>
      <c r="G61" s="365">
        <f>IF(0&lt;COUNTIF(Петли!E:E,B61),НацПетли,SUMIF(ПМ!E:E,B61,ПМ!G:G))</f>
        <v>0.15</v>
      </c>
      <c r="H61" s="140">
        <f>IF(0&lt;COUNTIF(Петли!E:E,B61),3,IF(COUNTIFS(ПМ!E:E,B61,ПМ!B:B,Справ!$I$17)=1,1,IF(COUNTIFS(ПМ!E:E,B61,ПМ!B:B,Справ!$I$18)=1,2,0)))</f>
        <v>1</v>
      </c>
      <c r="I61" s="365">
        <f>IF(H61=1,IF(Ценообразование!$B$9=Справ!$I$11,Ценообразование!$C$9,G61),IF(H61=2,IF(Ценообразование!$E$9=Справ!$I$11,Ценообразование!$F$9,G61),IF(H61=3,НацПетли,0)))</f>
        <v>0.2</v>
      </c>
    </row>
    <row r="62" spans="2:9">
      <c r="B62" s="82" t="s">
        <v>220</v>
      </c>
      <c r="C62" s="184">
        <f t="shared" si="2"/>
        <v>28.001347607999996</v>
      </c>
      <c r="D62" s="9">
        <f t="shared" ca="1" si="3"/>
        <v>0</v>
      </c>
      <c r="E62" s="9">
        <v>18.729998399999999</v>
      </c>
      <c r="F62" s="365">
        <f>IF(Ценообразование!$E$5=Справ!$I$14,Ценообразование!$F$5,G62)</f>
        <v>0.15</v>
      </c>
      <c r="G62" s="365">
        <f>IF(0&lt;COUNTIF(Петли!E:E,B62),НацПетли,SUMIF(ПМ!E:E,B62,ПМ!G:G))</f>
        <v>0.15</v>
      </c>
      <c r="H62" s="140">
        <f>IF(0&lt;COUNTIF(Петли!E:E,B62),3,IF(COUNTIFS(ПМ!E:E,B62,ПМ!B:B,Справ!$I$17)=1,1,IF(COUNTIFS(ПМ!E:E,B62,ПМ!B:B,Справ!$I$18)=1,2,0)))</f>
        <v>1</v>
      </c>
      <c r="I62" s="365">
        <f>IF(H62=1,IF(Ценообразование!$B$9=Справ!$I$11,Ценообразование!$C$9,G62),IF(H62=2,IF(Ценообразование!$E$9=Справ!$I$11,Ценообразование!$F$9,G62),IF(H62=3,НацПетли,0)))</f>
        <v>0.2</v>
      </c>
    </row>
    <row r="63" spans="2:9">
      <c r="B63" s="82" t="s">
        <v>222</v>
      </c>
      <c r="C63" s="184">
        <f t="shared" si="2"/>
        <v>28.001347607999996</v>
      </c>
      <c r="D63" s="9">
        <f t="shared" ca="1" si="3"/>
        <v>0</v>
      </c>
      <c r="E63" s="9">
        <v>18.729998399999999</v>
      </c>
      <c r="F63" s="365">
        <f>IF(Ценообразование!$E$5=Справ!$I$14,Ценообразование!$F$5,G63)</f>
        <v>0.15</v>
      </c>
      <c r="G63" s="365">
        <f>IF(0&lt;COUNTIF(Петли!E:E,B63),НацПетли,SUMIF(ПМ!E:E,B63,ПМ!G:G))</f>
        <v>0.15</v>
      </c>
      <c r="H63" s="140">
        <f>IF(0&lt;COUNTIF(Петли!E:E,B63),3,IF(COUNTIFS(ПМ!E:E,B63,ПМ!B:B,Справ!$I$17)=1,1,IF(COUNTIFS(ПМ!E:E,B63,ПМ!B:B,Справ!$I$18)=1,2,0)))</f>
        <v>1</v>
      </c>
      <c r="I63" s="365">
        <f>IF(H63=1,IF(Ценообразование!$B$9=Справ!$I$11,Ценообразование!$C$9,G63),IF(H63=2,IF(Ценообразование!$E$9=Справ!$I$11,Ценообразование!$F$9,G63),IF(H63=3,НацПетли,0)))</f>
        <v>0.2</v>
      </c>
    </row>
    <row r="64" spans="2:9">
      <c r="B64" s="82" t="s">
        <v>223</v>
      </c>
      <c r="C64" s="184">
        <f t="shared" si="2"/>
        <v>28.001347607999996</v>
      </c>
      <c r="D64" s="9">
        <f t="shared" ca="1" si="3"/>
        <v>0</v>
      </c>
      <c r="E64" s="9">
        <v>18.729998399999999</v>
      </c>
      <c r="F64" s="365">
        <f>IF(Ценообразование!$E$5=Справ!$I$14,Ценообразование!$F$5,G64)</f>
        <v>0.15</v>
      </c>
      <c r="G64" s="365">
        <f>IF(0&lt;COUNTIF(Петли!E:E,B64),НацПетли,SUMIF(ПМ!E:E,B64,ПМ!G:G))</f>
        <v>0.15</v>
      </c>
      <c r="H64" s="140">
        <f>IF(0&lt;COUNTIF(Петли!E:E,B64),3,IF(COUNTIFS(ПМ!E:E,B64,ПМ!B:B,Справ!$I$17)=1,1,IF(COUNTIFS(ПМ!E:E,B64,ПМ!B:B,Справ!$I$18)=1,2,0)))</f>
        <v>1</v>
      </c>
      <c r="I64" s="365">
        <f>IF(H64=1,IF(Ценообразование!$B$9=Справ!$I$11,Ценообразование!$C$9,G64),IF(H64=2,IF(Ценообразование!$E$9=Справ!$I$11,Ценообразование!$F$9,G64),IF(H64=3,НацПетли,0)))</f>
        <v>0.2</v>
      </c>
    </row>
    <row r="65" spans="2:9">
      <c r="B65" s="82" t="s">
        <v>213</v>
      </c>
      <c r="C65" s="184">
        <f t="shared" si="2"/>
        <v>0.35715968599999998</v>
      </c>
      <c r="D65" s="9">
        <f t="shared" ca="1" si="3"/>
        <v>0</v>
      </c>
      <c r="E65" s="9">
        <v>0.2389028</v>
      </c>
      <c r="F65" s="365">
        <f>IF(Ценообразование!$E$5=Справ!$I$14,Ценообразование!$F$5,G65)</f>
        <v>0.15</v>
      </c>
      <c r="G65" s="365">
        <f>IF(0&lt;COUNTIF(Петли!E:E,B65),НацПетли,SUMIF(ПМ!E:E,B65,ПМ!G:G))</f>
        <v>0.15</v>
      </c>
      <c r="H65" s="140">
        <f>IF(0&lt;COUNTIF(Петли!E:E,B65),3,IF(COUNTIFS(ПМ!E:E,B65,ПМ!B:B,Справ!$I$17)=1,1,IF(COUNTIFS(ПМ!E:E,B65,ПМ!B:B,Справ!$I$18)=1,2,0)))</f>
        <v>2</v>
      </c>
      <c r="I65" s="365">
        <f>IF(H65=1,IF(Ценообразование!$B$9=Справ!$I$11,Ценообразование!$C$9,G65),IF(H65=2,IF(Ценообразование!$E$9=Справ!$I$11,Ценообразование!$F$9,G65),IF(H65=3,НацПетли,0)))</f>
        <v>0.2</v>
      </c>
    </row>
    <row r="66" spans="2:9">
      <c r="B66" s="82" t="s">
        <v>214</v>
      </c>
      <c r="C66" s="184">
        <f t="shared" si="2"/>
        <v>0.35715968599999998</v>
      </c>
      <c r="D66" s="9">
        <f t="shared" ca="1" si="3"/>
        <v>0</v>
      </c>
      <c r="E66" s="9">
        <v>0.2389028</v>
      </c>
      <c r="F66" s="365">
        <f>IF(Ценообразование!$E$5=Справ!$I$14,Ценообразование!$F$5,G66)</f>
        <v>0.15</v>
      </c>
      <c r="G66" s="365">
        <f>IF(0&lt;COUNTIF(Петли!E:E,B66),НацПетли,SUMIF(ПМ!E:E,B66,ПМ!G:G))</f>
        <v>0.15</v>
      </c>
      <c r="H66" s="140">
        <f>IF(0&lt;COUNTIF(Петли!E:E,B66),3,IF(COUNTIFS(ПМ!E:E,B66,ПМ!B:B,Справ!$I$17)=1,1,IF(COUNTIFS(ПМ!E:E,B66,ПМ!B:B,Справ!$I$18)=1,2,0)))</f>
        <v>2</v>
      </c>
      <c r="I66" s="365">
        <f>IF(H66=1,IF(Ценообразование!$B$9=Справ!$I$11,Ценообразование!$C$9,G66),IF(H66=2,IF(Ценообразование!$E$9=Справ!$I$11,Ценообразование!$F$9,G66),IF(H66=3,НацПетли,0)))</f>
        <v>0.2</v>
      </c>
    </row>
    <row r="67" spans="2:9">
      <c r="B67" s="82" t="s">
        <v>210</v>
      </c>
      <c r="C67" s="184">
        <f t="shared" si="2"/>
        <v>0.56077210799999999</v>
      </c>
      <c r="D67" s="9">
        <f t="shared" ca="1" si="3"/>
        <v>0</v>
      </c>
      <c r="E67" s="9">
        <v>0.3750984</v>
      </c>
      <c r="F67" s="365">
        <f>IF(Ценообразование!$E$5=Справ!$I$14,Ценообразование!$F$5,G67)</f>
        <v>0.15</v>
      </c>
      <c r="G67" s="365">
        <f>IF(0&lt;COUNTIF(Петли!E:E,B67),НацПетли,SUMIF(ПМ!E:E,B67,ПМ!G:G))</f>
        <v>0.15</v>
      </c>
      <c r="H67" s="140">
        <f>IF(0&lt;COUNTIF(Петли!E:E,B67),3,IF(COUNTIFS(ПМ!E:E,B67,ПМ!B:B,Справ!$I$17)=1,1,IF(COUNTIFS(ПМ!E:E,B67,ПМ!B:B,Справ!$I$18)=1,2,0)))</f>
        <v>2</v>
      </c>
      <c r="I67" s="365">
        <f>IF(H67=1,IF(Ценообразование!$B$9=Справ!$I$11,Ценообразование!$C$9,G67),IF(H67=2,IF(Ценообразование!$E$9=Справ!$I$11,Ценообразование!$F$9,G67),IF(H67=3,НацПетли,0)))</f>
        <v>0.2</v>
      </c>
    </row>
    <row r="68" spans="2:9">
      <c r="B68" s="82" t="s">
        <v>212</v>
      </c>
      <c r="C68" s="184">
        <f t="shared" ref="C68:C99" si="4">E68*(1+F68)*(1+РознНаценка*VLOOKUP(ФлагЦеныПрайса,ЦеныПрайса,2,0))</f>
        <v>0.411123505</v>
      </c>
      <c r="D68" s="9">
        <f t="shared" ref="D68:D99" ca="1" si="5">C68*$D$2</f>
        <v>0</v>
      </c>
      <c r="E68" s="9">
        <v>0.27499899999999999</v>
      </c>
      <c r="F68" s="365">
        <f>IF(Ценообразование!$E$5=Справ!$I$14,Ценообразование!$F$5,G68)</f>
        <v>0.15</v>
      </c>
      <c r="G68" s="365">
        <f>IF(0&lt;COUNTIF(Петли!E:E,B68),НацПетли,SUMIF(ПМ!E:E,B68,ПМ!G:G))</f>
        <v>0.15</v>
      </c>
      <c r="H68" s="140">
        <f>IF(0&lt;COUNTIF(Петли!E:E,B68),3,IF(COUNTIFS(ПМ!E:E,B68,ПМ!B:B,Справ!$I$17)=1,1,IF(COUNTIFS(ПМ!E:E,B68,ПМ!B:B,Справ!$I$18)=1,2,0)))</f>
        <v>2</v>
      </c>
      <c r="I68" s="365">
        <f>IF(H68=1,IF(Ценообразование!$B$9=Справ!$I$11,Ценообразование!$C$9,G68),IF(H68=2,IF(Ценообразование!$E$9=Справ!$I$11,Ценообразование!$F$9,G68),IF(H68=3,НацПетли,0)))</f>
        <v>0.2</v>
      </c>
    </row>
    <row r="69" spans="2:9">
      <c r="B69" s="82" t="s">
        <v>180</v>
      </c>
      <c r="C69" s="184">
        <f t="shared" si="4"/>
        <v>6.0329221030000006</v>
      </c>
      <c r="D69" s="9">
        <f t="shared" ca="1" si="5"/>
        <v>0</v>
      </c>
      <c r="E69" s="9">
        <v>4.0353994000000002</v>
      </c>
      <c r="F69" s="365">
        <f>IF(Ценообразование!$E$5=Справ!$I$14,Ценообразование!$F$5,G69)</f>
        <v>0.15</v>
      </c>
      <c r="G69" s="365">
        <f>IF(0&lt;COUNTIF(Петли!E:E,B69),НацПетли,SUMIF(ПМ!E:E,B69,ПМ!G:G))</f>
        <v>0.15</v>
      </c>
      <c r="H69" s="140">
        <f>IF(0&lt;COUNTIF(Петли!E:E,B69),3,IF(COUNTIFS(ПМ!E:E,B69,ПМ!B:B,Справ!$I$17)=1,1,IF(COUNTIFS(ПМ!E:E,B69,ПМ!B:B,Справ!$I$18)=1,2,0)))</f>
        <v>1</v>
      </c>
      <c r="I69" s="365">
        <f>IF(H69=1,IF(Ценообразование!$B$9=Справ!$I$11,Ценообразование!$C$9,G69),IF(H69=2,IF(Ценообразование!$E$9=Справ!$I$11,Ценообразование!$F$9,G69),IF(H69=3,НацПетли,0)))</f>
        <v>0.2</v>
      </c>
    </row>
    <row r="70" spans="2:9">
      <c r="B70" s="82" t="s">
        <v>182</v>
      </c>
      <c r="C70" s="184">
        <f t="shared" si="4"/>
        <v>6.0329221030000006</v>
      </c>
      <c r="D70" s="9">
        <f t="shared" ca="1" si="5"/>
        <v>0</v>
      </c>
      <c r="E70" s="9">
        <v>4.0353994000000002</v>
      </c>
      <c r="F70" s="365">
        <f>IF(Ценообразование!$E$5=Справ!$I$14,Ценообразование!$F$5,G70)</f>
        <v>0.15</v>
      </c>
      <c r="G70" s="365">
        <f>IF(0&lt;COUNTIF(Петли!E:E,B70),НацПетли,SUMIF(ПМ!E:E,B70,ПМ!G:G))</f>
        <v>0.15</v>
      </c>
      <c r="H70" s="140">
        <f>IF(0&lt;COUNTIF(Петли!E:E,B70),3,IF(COUNTIFS(ПМ!E:E,B70,ПМ!B:B,Справ!$I$17)=1,1,IF(COUNTIFS(ПМ!E:E,B70,ПМ!B:B,Справ!$I$18)=1,2,0)))</f>
        <v>1</v>
      </c>
      <c r="I70" s="365">
        <f>IF(H70=1,IF(Ценообразование!$B$9=Справ!$I$11,Ценообразование!$C$9,G70),IF(H70=2,IF(Ценообразование!$E$9=Справ!$I$11,Ценообразование!$F$9,G70),IF(H70=3,НацПетли,0)))</f>
        <v>0.2</v>
      </c>
    </row>
    <row r="71" spans="2:9">
      <c r="B71" s="82" t="s">
        <v>184</v>
      </c>
      <c r="C71" s="184">
        <f t="shared" si="4"/>
        <v>6.0329221030000006</v>
      </c>
      <c r="D71" s="9">
        <f t="shared" ca="1" si="5"/>
        <v>0</v>
      </c>
      <c r="E71" s="9">
        <v>4.0353994000000002</v>
      </c>
      <c r="F71" s="365">
        <f>IF(Ценообразование!$E$5=Справ!$I$14,Ценообразование!$F$5,G71)</f>
        <v>0.15</v>
      </c>
      <c r="G71" s="365">
        <f>IF(0&lt;COUNTIF(Петли!E:E,B71),НацПетли,SUMIF(ПМ!E:E,B71,ПМ!G:G))</f>
        <v>0.15</v>
      </c>
      <c r="H71" s="140">
        <f>IF(0&lt;COUNTIF(Петли!E:E,B71),3,IF(COUNTIFS(ПМ!E:E,B71,ПМ!B:B,Справ!$I$17)=1,1,IF(COUNTIFS(ПМ!E:E,B71,ПМ!B:B,Справ!$I$18)=1,2,0)))</f>
        <v>1</v>
      </c>
      <c r="I71" s="365">
        <f>IF(H71=1,IF(Ценообразование!$B$9=Справ!$I$11,Ценообразование!$C$9,G71),IF(H71=2,IF(Ценообразование!$E$9=Справ!$I$11,Ценообразование!$F$9,G71),IF(H71=3,НацПетли,0)))</f>
        <v>0.2</v>
      </c>
    </row>
    <row r="72" spans="2:9">
      <c r="B72" s="82" t="s">
        <v>21</v>
      </c>
      <c r="C72" s="184">
        <f t="shared" si="4"/>
        <v>3.9607043969999993</v>
      </c>
      <c r="D72" s="9">
        <f t="shared" ca="1" si="5"/>
        <v>0</v>
      </c>
      <c r="E72" s="9">
        <v>2.6493005999999997</v>
      </c>
      <c r="F72" s="365">
        <f>IF(Ценообразование!$E$5=Справ!$I$14,Ценообразование!$F$5,G72)</f>
        <v>0.15</v>
      </c>
      <c r="G72" s="365">
        <f>IF(0&lt;COUNTIF(Петли!E:E,B72),НацПетли,SUMIF(ПМ!E:E,B72,ПМ!G:G))</f>
        <v>0.15</v>
      </c>
      <c r="H72" s="140">
        <f>IF(0&lt;COUNTIF(Петли!E:E,B72),3,IF(COUNTIFS(ПМ!E:E,B72,ПМ!B:B,Справ!$I$17)=1,1,IF(COUNTIFS(ПМ!E:E,B72,ПМ!B:B,Справ!$I$18)=1,2,0)))</f>
        <v>2</v>
      </c>
      <c r="I72" s="365">
        <f>IF(H72=1,IF(Ценообразование!$B$9=Справ!$I$11,Ценообразование!$C$9,G72),IF(H72=2,IF(Ценообразование!$E$9=Справ!$I$11,Ценообразование!$F$9,G72),IF(H72=3,НацПетли,0)))</f>
        <v>0.2</v>
      </c>
    </row>
    <row r="73" spans="2:9">
      <c r="B73" s="82" t="s">
        <v>7</v>
      </c>
      <c r="C73" s="184">
        <f t="shared" si="4"/>
        <v>1.8687111299999999</v>
      </c>
      <c r="D73" s="9">
        <f t="shared" ca="1" si="5"/>
        <v>0</v>
      </c>
      <c r="E73" s="9">
        <v>1.2499739999999999</v>
      </c>
      <c r="F73" s="365">
        <f>IF(Ценообразование!$E$5=Справ!$I$14,Ценообразование!$F$5,G73)</f>
        <v>0.15</v>
      </c>
      <c r="G73" s="365">
        <f>IF(0&lt;COUNTIF(Петли!E:E,B73),НацПетли,SUMIF(ПМ!E:E,B73,ПМ!G:G))</f>
        <v>0.15</v>
      </c>
      <c r="H73" s="140">
        <f>IF(0&lt;COUNTIF(Петли!E:E,B73),3,IF(COUNTIFS(ПМ!E:E,B73,ПМ!B:B,Справ!$I$17)=1,1,IF(COUNTIFS(ПМ!E:E,B73,ПМ!B:B,Справ!$I$18)=1,2,0)))</f>
        <v>2</v>
      </c>
      <c r="I73" s="365">
        <f>IF(H73=1,IF(Ценообразование!$B$9=Справ!$I$11,Ценообразование!$C$9,G73),IF(H73=2,IF(Ценообразование!$E$9=Справ!$I$11,Ценообразование!$F$9,G73),IF(H73=3,НацПетли,0)))</f>
        <v>0.2</v>
      </c>
    </row>
    <row r="74" spans="2:9">
      <c r="B74" s="82" t="s">
        <v>4</v>
      </c>
      <c r="C74" s="184">
        <f t="shared" si="4"/>
        <v>0.93273259300000011</v>
      </c>
      <c r="D74" s="9">
        <f t="shared" ca="1" si="5"/>
        <v>0</v>
      </c>
      <c r="E74" s="9">
        <v>0.62390140000000005</v>
      </c>
      <c r="F74" s="365">
        <f>IF(Ценообразование!$E$5=Справ!$I$14,Ценообразование!$F$5,G74)</f>
        <v>0.15</v>
      </c>
      <c r="G74" s="365">
        <f>IF(0&lt;COUNTIF(Петли!E:E,B74),НацПетли,SUMIF(ПМ!E:E,B74,ПМ!G:G))</f>
        <v>0.15</v>
      </c>
      <c r="H74" s="140">
        <f>IF(0&lt;COUNTIF(Петли!E:E,B74),3,IF(COUNTIFS(ПМ!E:E,B74,ПМ!B:B,Справ!$I$17)=1,1,IF(COUNTIFS(ПМ!E:E,B74,ПМ!B:B,Справ!$I$18)=1,2,0)))</f>
        <v>2</v>
      </c>
      <c r="I74" s="365">
        <f>IF(H74=1,IF(Ценообразование!$B$9=Справ!$I$11,Ценообразование!$C$9,G74),IF(H74=2,IF(Ценообразование!$E$9=Справ!$I$11,Ценообразование!$F$9,G74),IF(H74=3,НацПетли,0)))</f>
        <v>0.2</v>
      </c>
    </row>
    <row r="75" spans="2:9">
      <c r="B75" s="82" t="s">
        <v>9</v>
      </c>
      <c r="C75" s="184">
        <f t="shared" si="4"/>
        <v>9.3573509119999994</v>
      </c>
      <c r="D75" s="9">
        <f t="shared" ca="1" si="5"/>
        <v>0</v>
      </c>
      <c r="E75" s="9">
        <v>6.2590975999999996</v>
      </c>
      <c r="F75" s="365">
        <f>IF(Ценообразование!$E$5=Справ!$I$14,Ценообразование!$F$5,G75)</f>
        <v>0.15</v>
      </c>
      <c r="G75" s="365">
        <f>IF(0&lt;COUNTIF(Петли!E:E,B75),НацПетли,SUMIF(ПМ!E:E,B75,ПМ!G:G))</f>
        <v>0.15</v>
      </c>
      <c r="H75" s="140">
        <f>IF(0&lt;COUNTIF(Петли!E:E,B75),3,IF(COUNTIFS(ПМ!E:E,B75,ПМ!B:B,Справ!$I$17)=1,1,IF(COUNTIFS(ПМ!E:E,B75,ПМ!B:B,Справ!$I$18)=1,2,0)))</f>
        <v>1</v>
      </c>
      <c r="I75" s="365">
        <f>IF(H75=1,IF(Ценообразование!$B$9=Справ!$I$11,Ценообразование!$C$9,G75),IF(H75=2,IF(Ценообразование!$E$9=Справ!$I$11,Ценообразование!$F$9,G75),IF(H75=3,НацПетли,0)))</f>
        <v>0.2</v>
      </c>
    </row>
    <row r="76" spans="2:9">
      <c r="B76" s="82" t="s">
        <v>10</v>
      </c>
      <c r="C76" s="184">
        <f t="shared" si="4"/>
        <v>9.3573509119999994</v>
      </c>
      <c r="D76" s="9">
        <f t="shared" ca="1" si="5"/>
        <v>0</v>
      </c>
      <c r="E76" s="9">
        <v>6.2590975999999996</v>
      </c>
      <c r="F76" s="365">
        <f>IF(Ценообразование!$E$5=Справ!$I$14,Ценообразование!$F$5,G76)</f>
        <v>0.15</v>
      </c>
      <c r="G76" s="365">
        <f>IF(0&lt;COUNTIF(Петли!E:E,B76),НацПетли,SUMIF(ПМ!E:E,B76,ПМ!G:G))</f>
        <v>0.15</v>
      </c>
      <c r="H76" s="140">
        <f>IF(0&lt;COUNTIF(Петли!E:E,B76),3,IF(COUNTIFS(ПМ!E:E,B76,ПМ!B:B,Справ!$I$17)=1,1,IF(COUNTIFS(ПМ!E:E,B76,ПМ!B:B,Справ!$I$18)=1,2,0)))</f>
        <v>1</v>
      </c>
      <c r="I76" s="365">
        <f>IF(H76=1,IF(Ценообразование!$B$9=Справ!$I$11,Ценообразование!$C$9,G76),IF(H76=2,IF(Ценообразование!$E$9=Справ!$I$11,Ценообразование!$F$9,G76),IF(H76=3,НацПетли,0)))</f>
        <v>0.2</v>
      </c>
    </row>
    <row r="77" spans="2:9">
      <c r="B77" s="82" t="s">
        <v>123</v>
      </c>
      <c r="C77" s="184">
        <f t="shared" si="4"/>
        <v>9.3573509119999994</v>
      </c>
      <c r="D77" s="9">
        <f t="shared" ca="1" si="5"/>
        <v>0</v>
      </c>
      <c r="E77" s="9">
        <v>6.2590975999999996</v>
      </c>
      <c r="F77" s="365">
        <f>IF(Ценообразование!$E$5=Справ!$I$14,Ценообразование!$F$5,G77)</f>
        <v>0.15</v>
      </c>
      <c r="G77" s="365">
        <f>IF(0&lt;COUNTIF(Петли!E:E,B77),НацПетли,SUMIF(ПМ!E:E,B77,ПМ!G:G))</f>
        <v>0.15</v>
      </c>
      <c r="H77" s="140">
        <f>IF(0&lt;COUNTIF(Петли!E:E,B77),3,IF(COUNTIFS(ПМ!E:E,B77,ПМ!B:B,Справ!$I$17)=1,1,IF(COUNTIFS(ПМ!E:E,B77,ПМ!B:B,Справ!$I$18)=1,2,0)))</f>
        <v>1</v>
      </c>
      <c r="I77" s="365">
        <f>IF(H77=1,IF(Ценообразование!$B$9=Справ!$I$11,Ценообразование!$C$9,G77),IF(H77=2,IF(Ценообразование!$E$9=Справ!$I$11,Ценообразование!$F$9,G77),IF(H77=3,НацПетли,0)))</f>
        <v>0.2</v>
      </c>
    </row>
    <row r="78" spans="2:9">
      <c r="B78" s="82" t="s">
        <v>124</v>
      </c>
      <c r="C78" s="184">
        <f t="shared" si="4"/>
        <v>9.3573509119999994</v>
      </c>
      <c r="D78" s="9">
        <f t="shared" ca="1" si="5"/>
        <v>0</v>
      </c>
      <c r="E78" s="9">
        <v>6.2590975999999996</v>
      </c>
      <c r="F78" s="365">
        <f>IF(Ценообразование!$E$5=Справ!$I$14,Ценообразование!$F$5,G78)</f>
        <v>0.15</v>
      </c>
      <c r="G78" s="365">
        <f>IF(0&lt;COUNTIF(Петли!E:E,B78),НацПетли,SUMIF(ПМ!E:E,B78,ПМ!G:G))</f>
        <v>0.15</v>
      </c>
      <c r="H78" s="140">
        <f>IF(0&lt;COUNTIF(Петли!E:E,B78),3,IF(COUNTIFS(ПМ!E:E,B78,ПМ!B:B,Справ!$I$17)=1,1,IF(COUNTIFS(ПМ!E:E,B78,ПМ!B:B,Справ!$I$18)=1,2,0)))</f>
        <v>1</v>
      </c>
      <c r="I78" s="365">
        <f>IF(H78=1,IF(Ценообразование!$B$9=Справ!$I$11,Ценообразование!$C$9,G78),IF(H78=2,IF(Ценообразование!$E$9=Справ!$I$11,Ценообразование!$F$9,G78),IF(H78=3,НацПетли,0)))</f>
        <v>0.2</v>
      </c>
    </row>
    <row r="79" spans="2:9">
      <c r="B79" s="82" t="s">
        <v>125</v>
      </c>
      <c r="C79" s="184">
        <f t="shared" si="4"/>
        <v>9.3573509119999994</v>
      </c>
      <c r="D79" s="9">
        <f t="shared" ca="1" si="5"/>
        <v>0</v>
      </c>
      <c r="E79" s="9">
        <v>6.2590975999999996</v>
      </c>
      <c r="F79" s="365">
        <f>IF(Ценообразование!$E$5=Справ!$I$14,Ценообразование!$F$5,G79)</f>
        <v>0.15</v>
      </c>
      <c r="G79" s="365">
        <f>IF(0&lt;COUNTIF(Петли!E:E,B79),НацПетли,SUMIF(ПМ!E:E,B79,ПМ!G:G))</f>
        <v>0.15</v>
      </c>
      <c r="H79" s="140">
        <f>IF(0&lt;COUNTIF(Петли!E:E,B79),3,IF(COUNTIFS(ПМ!E:E,B79,ПМ!B:B,Справ!$I$17)=1,1,IF(COUNTIFS(ПМ!E:E,B79,ПМ!B:B,Справ!$I$18)=1,2,0)))</f>
        <v>1</v>
      </c>
      <c r="I79" s="365">
        <f>IF(H79=1,IF(Ценообразование!$B$9=Справ!$I$11,Ценообразование!$C$9,G79),IF(H79=2,IF(Ценообразование!$E$9=Справ!$I$11,Ценообразование!$F$9,G79),IF(H79=3,НацПетли,0)))</f>
        <v>0.2</v>
      </c>
    </row>
    <row r="80" spans="2:9">
      <c r="B80" s="82" t="s">
        <v>126</v>
      </c>
      <c r="C80" s="184">
        <f t="shared" si="4"/>
        <v>9.3573509119999994</v>
      </c>
      <c r="D80" s="9">
        <f t="shared" ca="1" si="5"/>
        <v>0</v>
      </c>
      <c r="E80" s="9">
        <v>6.2590975999999996</v>
      </c>
      <c r="F80" s="365">
        <f>IF(Ценообразование!$E$5=Справ!$I$14,Ценообразование!$F$5,G80)</f>
        <v>0.15</v>
      </c>
      <c r="G80" s="365">
        <f>IF(0&lt;COUNTIF(Петли!E:E,B80),НацПетли,SUMIF(ПМ!E:E,B80,ПМ!G:G))</f>
        <v>0.15</v>
      </c>
      <c r="H80" s="140">
        <f>IF(0&lt;COUNTIF(Петли!E:E,B80),3,IF(COUNTIFS(ПМ!E:E,B80,ПМ!B:B,Справ!$I$17)=1,1,IF(COUNTIFS(ПМ!E:E,B80,ПМ!B:B,Справ!$I$18)=1,2,0)))</f>
        <v>1</v>
      </c>
      <c r="I80" s="365">
        <f>IF(H80=1,IF(Ценообразование!$B$9=Справ!$I$11,Ценообразование!$C$9,G80),IF(H80=2,IF(Ценообразование!$E$9=Справ!$I$11,Ценообразование!$F$9,G80),IF(H80=3,НацПетли,0)))</f>
        <v>0.2</v>
      </c>
    </row>
    <row r="81" spans="2:9">
      <c r="B81" s="82" t="s">
        <v>11</v>
      </c>
      <c r="C81" s="184">
        <f t="shared" si="4"/>
        <v>1.9502125499999998</v>
      </c>
      <c r="D81" s="9">
        <f t="shared" ca="1" si="5"/>
        <v>0</v>
      </c>
      <c r="E81" s="9">
        <v>1.3044899999999999</v>
      </c>
      <c r="F81" s="365">
        <f>IF(Ценообразование!$E$5=Справ!$I$14,Ценообразование!$F$5,G81)</f>
        <v>0.15</v>
      </c>
      <c r="G81" s="365">
        <f>IF(0&lt;COUNTIF(Петли!E:E,B81),НацПетли,SUMIF(ПМ!E:E,B81,ПМ!G:G))</f>
        <v>0.15</v>
      </c>
      <c r="H81" s="140">
        <f>IF(0&lt;COUNTIF(Петли!E:E,B81),3,IF(COUNTIFS(ПМ!E:E,B81,ПМ!B:B,Справ!$I$17)=1,1,IF(COUNTIFS(ПМ!E:E,B81,ПМ!B:B,Справ!$I$18)=1,2,0)))</f>
        <v>2</v>
      </c>
      <c r="I81" s="365">
        <f>IF(H81=1,IF(Ценообразование!$B$9=Справ!$I$11,Ценообразование!$C$9,G81),IF(H81=2,IF(Ценообразование!$E$9=Справ!$I$11,Ценообразование!$F$9,G81),IF(H81=3,НацПетли,0)))</f>
        <v>0.2</v>
      </c>
    </row>
    <row r="82" spans="2:9">
      <c r="B82" s="82" t="s">
        <v>13</v>
      </c>
      <c r="C82" s="184">
        <f t="shared" si="4"/>
        <v>13.751018372000001</v>
      </c>
      <c r="D82" s="9">
        <f t="shared" ca="1" si="5"/>
        <v>0</v>
      </c>
      <c r="E82" s="9">
        <v>9.1980056000000001</v>
      </c>
      <c r="F82" s="365">
        <f>IF(Ценообразование!$E$5=Справ!$I$14,Ценообразование!$F$5,G82)</f>
        <v>0.15</v>
      </c>
      <c r="G82" s="365">
        <f>IF(0&lt;COUNTIF(Петли!E:E,B82),НацПетли,SUMIF(ПМ!E:E,B82,ПМ!G:G))</f>
        <v>0.15</v>
      </c>
      <c r="H82" s="140">
        <f>IF(0&lt;COUNTIF(Петли!E:E,B82),3,IF(COUNTIFS(ПМ!E:E,B82,ПМ!B:B,Справ!$I$17)=1,1,IF(COUNTIFS(ПМ!E:E,B82,ПМ!B:B,Справ!$I$18)=1,2,0)))</f>
        <v>1</v>
      </c>
      <c r="I82" s="365">
        <f>IF(H82=1,IF(Ценообразование!$B$9=Справ!$I$11,Ценообразование!$C$9,G82),IF(H82=2,IF(Ценообразование!$E$9=Справ!$I$11,Ценообразование!$F$9,G82),IF(H82=3,НацПетли,0)))</f>
        <v>0.2</v>
      </c>
    </row>
    <row r="83" spans="2:9">
      <c r="B83" s="82" t="s">
        <v>14</v>
      </c>
      <c r="C83" s="184">
        <f t="shared" si="4"/>
        <v>13.751018372000001</v>
      </c>
      <c r="D83" s="9">
        <f t="shared" ca="1" si="5"/>
        <v>0</v>
      </c>
      <c r="E83" s="9">
        <v>9.1980056000000001</v>
      </c>
      <c r="F83" s="365">
        <f>IF(Ценообразование!$E$5=Справ!$I$14,Ценообразование!$F$5,G83)</f>
        <v>0.15</v>
      </c>
      <c r="G83" s="365">
        <f>IF(0&lt;COUNTIF(Петли!E:E,B83),НацПетли,SUMIF(ПМ!E:E,B83,ПМ!G:G))</f>
        <v>0.15</v>
      </c>
      <c r="H83" s="140">
        <f>IF(0&lt;COUNTIF(Петли!E:E,B83),3,IF(COUNTIFS(ПМ!E:E,B83,ПМ!B:B,Справ!$I$17)=1,1,IF(COUNTIFS(ПМ!E:E,B83,ПМ!B:B,Справ!$I$18)=1,2,0)))</f>
        <v>1</v>
      </c>
      <c r="I83" s="365">
        <f>IF(H83=1,IF(Ценообразование!$B$9=Справ!$I$11,Ценообразование!$C$9,G83),IF(H83=2,IF(Ценообразование!$E$9=Справ!$I$11,Ценообразование!$F$9,G83),IF(H83=3,НацПетли,0)))</f>
        <v>0.2</v>
      </c>
    </row>
    <row r="84" spans="2:9">
      <c r="B84" s="82" t="s">
        <v>132</v>
      </c>
      <c r="C84" s="184">
        <f t="shared" si="4"/>
        <v>13.751018372000001</v>
      </c>
      <c r="D84" s="9">
        <f t="shared" ca="1" si="5"/>
        <v>0</v>
      </c>
      <c r="E84" s="9">
        <v>9.1980056000000001</v>
      </c>
      <c r="F84" s="365">
        <f>IF(Ценообразование!$E$5=Справ!$I$14,Ценообразование!$F$5,G84)</f>
        <v>0.15</v>
      </c>
      <c r="G84" s="365">
        <f>IF(0&lt;COUNTIF(Петли!E:E,B84),НацПетли,SUMIF(ПМ!E:E,B84,ПМ!G:G))</f>
        <v>0.15</v>
      </c>
      <c r="H84" s="140">
        <f>IF(0&lt;COUNTIF(Петли!E:E,B84),3,IF(COUNTIFS(ПМ!E:E,B84,ПМ!B:B,Справ!$I$17)=1,1,IF(COUNTIFS(ПМ!E:E,B84,ПМ!B:B,Справ!$I$18)=1,2,0)))</f>
        <v>1</v>
      </c>
      <c r="I84" s="365">
        <f>IF(H84=1,IF(Ценообразование!$B$9=Справ!$I$11,Ценообразование!$C$9,G84),IF(H84=2,IF(Ценообразование!$E$9=Справ!$I$11,Ценообразование!$F$9,G84),IF(H84=3,НацПетли,0)))</f>
        <v>0.2</v>
      </c>
    </row>
    <row r="85" spans="2:9">
      <c r="B85" s="82" t="s">
        <v>133</v>
      </c>
      <c r="C85" s="184">
        <f t="shared" si="4"/>
        <v>13.751018372000001</v>
      </c>
      <c r="D85" s="9">
        <f t="shared" ca="1" si="5"/>
        <v>0</v>
      </c>
      <c r="E85" s="9">
        <v>9.1980056000000001</v>
      </c>
      <c r="F85" s="365">
        <f>IF(Ценообразование!$E$5=Справ!$I$14,Ценообразование!$F$5,G85)</f>
        <v>0.15</v>
      </c>
      <c r="G85" s="365">
        <f>IF(0&lt;COUNTIF(Петли!E:E,B85),НацПетли,SUMIF(ПМ!E:E,B85,ПМ!G:G))</f>
        <v>0.15</v>
      </c>
      <c r="H85" s="140">
        <f>IF(0&lt;COUNTIF(Петли!E:E,B85),3,IF(COUNTIFS(ПМ!E:E,B85,ПМ!B:B,Справ!$I$17)=1,1,IF(COUNTIFS(ПМ!E:E,B85,ПМ!B:B,Справ!$I$18)=1,2,0)))</f>
        <v>1</v>
      </c>
      <c r="I85" s="365">
        <f>IF(H85=1,IF(Ценообразование!$B$9=Справ!$I$11,Ценообразование!$C$9,G85),IF(H85=2,IF(Ценообразование!$E$9=Справ!$I$11,Ценообразование!$F$9,G85),IF(H85=3,НацПетли,0)))</f>
        <v>0.2</v>
      </c>
    </row>
    <row r="86" spans="2:9">
      <c r="B86" s="82" t="s">
        <v>135</v>
      </c>
      <c r="C86" s="184">
        <f t="shared" si="4"/>
        <v>13.751018372000001</v>
      </c>
      <c r="D86" s="9">
        <f t="shared" ca="1" si="5"/>
        <v>0</v>
      </c>
      <c r="E86" s="9">
        <v>9.1980056000000001</v>
      </c>
      <c r="F86" s="365">
        <f>IF(Ценообразование!$E$5=Справ!$I$14,Ценообразование!$F$5,G86)</f>
        <v>0.15</v>
      </c>
      <c r="G86" s="365">
        <f>IF(0&lt;COUNTIF(Петли!E:E,B86),НацПетли,SUMIF(ПМ!E:E,B86,ПМ!G:G))</f>
        <v>0.15</v>
      </c>
      <c r="H86" s="140">
        <f>IF(0&lt;COUNTIF(Петли!E:E,B86),3,IF(COUNTIFS(ПМ!E:E,B86,ПМ!B:B,Справ!$I$17)=1,1,IF(COUNTIFS(ПМ!E:E,B86,ПМ!B:B,Справ!$I$18)=1,2,0)))</f>
        <v>1</v>
      </c>
      <c r="I86" s="365">
        <f>IF(H86=1,IF(Ценообразование!$B$9=Справ!$I$11,Ценообразование!$C$9,G86),IF(H86=2,IF(Ценообразование!$E$9=Справ!$I$11,Ценообразование!$F$9,G86),IF(H86=3,НацПетли,0)))</f>
        <v>0.2</v>
      </c>
    </row>
    <row r="87" spans="2:9">
      <c r="B87" s="82" t="s">
        <v>136</v>
      </c>
      <c r="C87" s="184">
        <f t="shared" si="4"/>
        <v>13.751018372000001</v>
      </c>
      <c r="D87" s="9">
        <f t="shared" ca="1" si="5"/>
        <v>0</v>
      </c>
      <c r="E87" s="9">
        <v>9.1980056000000001</v>
      </c>
      <c r="F87" s="365">
        <f>IF(Ценообразование!$E$5=Справ!$I$14,Ценообразование!$F$5,G87)</f>
        <v>0.15</v>
      </c>
      <c r="G87" s="365">
        <f>IF(0&lt;COUNTIF(Петли!E:E,B87),НацПетли,SUMIF(ПМ!E:E,B87,ПМ!G:G))</f>
        <v>0.15</v>
      </c>
      <c r="H87" s="140">
        <f>IF(0&lt;COUNTIF(Петли!E:E,B87),3,IF(COUNTIFS(ПМ!E:E,B87,ПМ!B:B,Справ!$I$17)=1,1,IF(COUNTIFS(ПМ!E:E,B87,ПМ!B:B,Справ!$I$18)=1,2,0)))</f>
        <v>1</v>
      </c>
      <c r="I87" s="365">
        <f>IF(H87=1,IF(Ценообразование!$B$9=Справ!$I$11,Ценообразование!$C$9,G87),IF(H87=2,IF(Ценообразование!$E$9=Справ!$I$11,Ценообразование!$F$9,G87),IF(H87=3,НацПетли,0)))</f>
        <v>0.2</v>
      </c>
    </row>
    <row r="88" spans="2:9">
      <c r="B88" s="82" t="s">
        <v>138</v>
      </c>
      <c r="C88" s="184">
        <f t="shared" si="4"/>
        <v>13.751018372000001</v>
      </c>
      <c r="D88" s="9">
        <f t="shared" ca="1" si="5"/>
        <v>0</v>
      </c>
      <c r="E88" s="9">
        <v>9.1980056000000001</v>
      </c>
      <c r="F88" s="365">
        <f>IF(Ценообразование!$E$5=Справ!$I$14,Ценообразование!$F$5,G88)</f>
        <v>0.15</v>
      </c>
      <c r="G88" s="365">
        <f>IF(0&lt;COUNTIF(Петли!E:E,B88),НацПетли,SUMIF(ПМ!E:E,B88,ПМ!G:G))</f>
        <v>0.15</v>
      </c>
      <c r="H88" s="140">
        <f>IF(0&lt;COUNTIF(Петли!E:E,B88),3,IF(COUNTIFS(ПМ!E:E,B88,ПМ!B:B,Справ!$I$17)=1,1,IF(COUNTIFS(ПМ!E:E,B88,ПМ!B:B,Справ!$I$18)=1,2,0)))</f>
        <v>1</v>
      </c>
      <c r="I88" s="365">
        <f>IF(H88=1,IF(Ценообразование!$B$9=Справ!$I$11,Ценообразование!$C$9,G88),IF(H88=2,IF(Ценообразование!$E$9=Справ!$I$11,Ценообразование!$F$9,G88),IF(H88=3,НацПетли,0)))</f>
        <v>0.2</v>
      </c>
    </row>
    <row r="89" spans="2:9">
      <c r="B89" s="82" t="s">
        <v>139</v>
      </c>
      <c r="C89" s="184">
        <f t="shared" si="4"/>
        <v>13.751018372000001</v>
      </c>
      <c r="D89" s="9">
        <f t="shared" ca="1" si="5"/>
        <v>0</v>
      </c>
      <c r="E89" s="9">
        <v>9.1980056000000001</v>
      </c>
      <c r="F89" s="365">
        <f>IF(Ценообразование!$E$5=Справ!$I$14,Ценообразование!$F$5,G89)</f>
        <v>0.15</v>
      </c>
      <c r="G89" s="365">
        <f>IF(0&lt;COUNTIF(Петли!E:E,B89),НацПетли,SUMIF(ПМ!E:E,B89,ПМ!G:G))</f>
        <v>0.15</v>
      </c>
      <c r="H89" s="140">
        <f>IF(0&lt;COUNTIF(Петли!E:E,B89),3,IF(COUNTIFS(ПМ!E:E,B89,ПМ!B:B,Справ!$I$17)=1,1,IF(COUNTIFS(ПМ!E:E,B89,ПМ!B:B,Справ!$I$18)=1,2,0)))</f>
        <v>1</v>
      </c>
      <c r="I89" s="365">
        <f>IF(H89=1,IF(Ценообразование!$B$9=Справ!$I$11,Ценообразование!$C$9,G89),IF(H89=2,IF(Ценообразование!$E$9=Справ!$I$11,Ценообразование!$F$9,G89),IF(H89=3,НацПетли,0)))</f>
        <v>0.2</v>
      </c>
    </row>
    <row r="90" spans="2:9">
      <c r="B90" s="82" t="s">
        <v>204</v>
      </c>
      <c r="C90" s="184">
        <f t="shared" si="4"/>
        <v>0.30183750999999998</v>
      </c>
      <c r="D90" s="9">
        <f t="shared" ca="1" si="5"/>
        <v>0</v>
      </c>
      <c r="E90" s="9">
        <v>0.20189799999999999</v>
      </c>
      <c r="F90" s="365">
        <f>IF(Ценообразование!$E$5=Справ!$I$14,Ценообразование!$F$5,G90)</f>
        <v>0.15</v>
      </c>
      <c r="G90" s="365">
        <f>IF(0&lt;COUNTIF(Петли!E:E,B90),НацПетли,SUMIF(ПМ!E:E,B90,ПМ!G:G))</f>
        <v>0.15</v>
      </c>
      <c r="H90" s="140">
        <f>IF(0&lt;COUNTIF(Петли!E:E,B90),3,IF(COUNTIFS(ПМ!E:E,B90,ПМ!B:B,Справ!$I$17)=1,1,IF(COUNTIFS(ПМ!E:E,B90,ПМ!B:B,Справ!$I$18)=1,2,0)))</f>
        <v>2</v>
      </c>
      <c r="I90" s="365">
        <f>IF(H90=1,IF(Ценообразование!$B$9=Справ!$I$11,Ценообразование!$C$9,G90),IF(H90=2,IF(Ценообразование!$E$9=Справ!$I$11,Ценообразование!$F$9,G90),IF(H90=3,НацПетли,0)))</f>
        <v>0.2</v>
      </c>
    </row>
    <row r="91" spans="2:9">
      <c r="B91" s="82" t="s">
        <v>203</v>
      </c>
      <c r="C91" s="184">
        <f t="shared" si="4"/>
        <v>4.2588020149999988</v>
      </c>
      <c r="D91" s="9">
        <f t="shared" ca="1" si="5"/>
        <v>0</v>
      </c>
      <c r="E91" s="9">
        <v>2.8486969999999996</v>
      </c>
      <c r="F91" s="365">
        <f>IF(Ценообразование!$E$5=Справ!$I$14,Ценообразование!$F$5,G91)</f>
        <v>0.15</v>
      </c>
      <c r="G91" s="365">
        <f>IF(0&lt;COUNTIF(Петли!E:E,B91),НацПетли,SUMIF(ПМ!E:E,B91,ПМ!G:G))</f>
        <v>0.15</v>
      </c>
      <c r="H91" s="140">
        <f>IF(0&lt;COUNTIF(Петли!E:E,B91),3,IF(COUNTIFS(ПМ!E:E,B91,ПМ!B:B,Справ!$I$17)=1,1,IF(COUNTIFS(ПМ!E:E,B91,ПМ!B:B,Справ!$I$18)=1,2,0)))</f>
        <v>2</v>
      </c>
      <c r="I91" s="365">
        <f>IF(H91=1,IF(Ценообразование!$B$9=Справ!$I$11,Ценообразование!$C$9,G91),IF(H91=2,IF(Ценообразование!$E$9=Справ!$I$11,Ценообразование!$F$9,G91),IF(H91=3,НацПетли,0)))</f>
        <v>0.2</v>
      </c>
    </row>
    <row r="92" spans="2:9">
      <c r="B92" s="82" t="s">
        <v>44</v>
      </c>
      <c r="C92" s="184">
        <f t="shared" si="4"/>
        <v>3.8256978239999992</v>
      </c>
      <c r="D92" s="9">
        <f t="shared" ca="1" si="5"/>
        <v>0</v>
      </c>
      <c r="E92" s="9">
        <v>2.5589951999999996</v>
      </c>
      <c r="F92" s="365">
        <f>IF(Ценообразование!$E$5=Справ!$I$14,Ценообразование!$F$5,G92)</f>
        <v>0.15</v>
      </c>
      <c r="G92" s="365">
        <f>IF(0&lt;COUNTIF(Петли!E:E,B92),НацПетли,SUMIF(ПМ!E:E,B92,ПМ!G:G))</f>
        <v>0.15</v>
      </c>
      <c r="H92" s="140">
        <f>IF(0&lt;COUNTIF(Петли!E:E,B92),3,IF(COUNTIFS(ПМ!E:E,B92,ПМ!B:B,Справ!$I$17)=1,1,IF(COUNTIFS(ПМ!E:E,B92,ПМ!B:B,Справ!$I$18)=1,2,0)))</f>
        <v>1</v>
      </c>
      <c r="I92" s="365">
        <f>IF(H92=1,IF(Ценообразование!$B$9=Справ!$I$11,Ценообразование!$C$9,G92),IF(H92=2,IF(Ценообразование!$E$9=Справ!$I$11,Ценообразование!$F$9,G92),IF(H92=3,НацПетли,0)))</f>
        <v>0.2</v>
      </c>
    </row>
    <row r="93" spans="2:9">
      <c r="B93" s="82" t="s">
        <v>42</v>
      </c>
      <c r="C93" s="184">
        <f t="shared" si="4"/>
        <v>0.30153761299999998</v>
      </c>
      <c r="D93" s="9">
        <f t="shared" ca="1" si="5"/>
        <v>0</v>
      </c>
      <c r="E93" s="9">
        <v>0.2016974</v>
      </c>
      <c r="F93" s="365">
        <f>IF(Ценообразование!$E$5=Справ!$I$14,Ценообразование!$F$5,G93)</f>
        <v>0.15</v>
      </c>
      <c r="G93" s="365">
        <f>IF(0&lt;COUNTIF(Петли!E:E,B93),НацПетли,SUMIF(ПМ!E:E,B93,ПМ!G:G))</f>
        <v>0.15</v>
      </c>
      <c r="H93" s="140">
        <f>IF(0&lt;COUNTIF(Петли!E:E,B93),3,IF(COUNTIFS(ПМ!E:E,B93,ПМ!B:B,Справ!$I$17)=1,1,IF(COUNTIFS(ПМ!E:E,B93,ПМ!B:B,Справ!$I$18)=1,2,0)))</f>
        <v>2</v>
      </c>
      <c r="I93" s="365">
        <f>IF(H93=1,IF(Ценообразование!$B$9=Справ!$I$11,Ценообразование!$C$9,G93),IF(H93=2,IF(Ценообразование!$E$9=Справ!$I$11,Ценообразование!$F$9,G93),IF(H93=3,НацПетли,0)))</f>
        <v>0.2</v>
      </c>
    </row>
    <row r="94" spans="2:9">
      <c r="B94" s="82" t="s">
        <v>45</v>
      </c>
      <c r="C94" s="184">
        <f t="shared" si="4"/>
        <v>0.36254019099999996</v>
      </c>
      <c r="D94" s="9">
        <f t="shared" ca="1" si="5"/>
        <v>0</v>
      </c>
      <c r="E94" s="9">
        <v>0.24250179999999999</v>
      </c>
      <c r="F94" s="365">
        <f>IF(Ценообразование!$E$5=Справ!$I$14,Ценообразование!$F$5,G94)</f>
        <v>0.15</v>
      </c>
      <c r="G94" s="365">
        <f>IF(0&lt;COUNTIF(Петли!E:E,B94),НацПетли,SUMIF(ПМ!E:E,B94,ПМ!G:G))</f>
        <v>0.15</v>
      </c>
      <c r="H94" s="140">
        <f>IF(0&lt;COUNTIF(Петли!E:E,B94),3,IF(COUNTIFS(ПМ!E:E,B94,ПМ!B:B,Справ!$I$17)=1,1,IF(COUNTIFS(ПМ!E:E,B94,ПМ!B:B,Справ!$I$18)=1,2,0)))</f>
        <v>2</v>
      </c>
      <c r="I94" s="365">
        <f>IF(H94=1,IF(Ценообразование!$B$9=Справ!$I$11,Ценообразование!$C$9,G94),IF(H94=2,IF(Ценообразование!$E$9=Справ!$I$11,Ценообразование!$F$9,G94),IF(H94=3,НацПетли,0)))</f>
        <v>0.2</v>
      </c>
    </row>
    <row r="95" spans="2:9">
      <c r="B95" s="82" t="s">
        <v>43</v>
      </c>
      <c r="C95" s="184">
        <f t="shared" si="4"/>
        <v>5.5990769899999995</v>
      </c>
      <c r="D95" s="9">
        <f t="shared" ca="1" si="5"/>
        <v>0</v>
      </c>
      <c r="E95" s="9">
        <v>3.7452019999999999</v>
      </c>
      <c r="F95" s="365">
        <f>IF(Ценообразование!$E$5=Справ!$I$14,Ценообразование!$F$5,G95)</f>
        <v>0.15</v>
      </c>
      <c r="G95" s="365">
        <f>IF(0&lt;COUNTIF(Петли!E:E,B95),НацПетли,SUMIF(ПМ!E:E,B95,ПМ!G:G))</f>
        <v>0.15</v>
      </c>
      <c r="H95" s="140">
        <f>IF(0&lt;COUNTIF(Петли!E:E,B95),3,IF(COUNTIFS(ПМ!E:E,B95,ПМ!B:B,Справ!$I$17)=1,1,IF(COUNTIFS(ПМ!E:E,B95,ПМ!B:B,Справ!$I$18)=1,2,0)))</f>
        <v>2</v>
      </c>
      <c r="I95" s="365">
        <f>IF(H95=1,IF(Ценообразование!$B$9=Справ!$I$11,Ценообразование!$C$9,G95),IF(H95=2,IF(Ценообразование!$E$9=Справ!$I$11,Ценообразование!$F$9,G95),IF(H95=3,НацПетли,0)))</f>
        <v>0.2</v>
      </c>
    </row>
    <row r="96" spans="2:9">
      <c r="B96" s="82" t="s">
        <v>145</v>
      </c>
      <c r="C96" s="184">
        <f t="shared" si="4"/>
        <v>15.392972087999999</v>
      </c>
      <c r="D96" s="9">
        <f t="shared" ca="1" si="5"/>
        <v>0</v>
      </c>
      <c r="E96" s="9">
        <v>10.2963024</v>
      </c>
      <c r="F96" s="365">
        <f>IF(Ценообразование!$E$5=Справ!$I$14,Ценообразование!$F$5,G96)</f>
        <v>0.15</v>
      </c>
      <c r="G96" s="365">
        <f>IF(0&lt;COUNTIF(Петли!E:E,B96),НацПетли,SUMIF(ПМ!E:E,B96,ПМ!G:G))</f>
        <v>0.15</v>
      </c>
      <c r="H96" s="140">
        <f>IF(0&lt;COUNTIF(Петли!E:E,B96),3,IF(COUNTIFS(ПМ!E:E,B96,ПМ!B:B,Справ!$I$17)=1,1,IF(COUNTIFS(ПМ!E:E,B96,ПМ!B:B,Справ!$I$18)=1,2,0)))</f>
        <v>1</v>
      </c>
      <c r="I96" s="365">
        <f>IF(H96=1,IF(Ценообразование!$B$9=Справ!$I$11,Ценообразование!$C$9,G96),IF(H96=2,IF(Ценообразование!$E$9=Справ!$I$11,Ценообразование!$F$9,G96),IF(H96=3,НацПетли,0)))</f>
        <v>0.2</v>
      </c>
    </row>
    <row r="97" spans="2:9">
      <c r="B97" s="82" t="s">
        <v>146</v>
      </c>
      <c r="C97" s="184">
        <f t="shared" si="4"/>
        <v>15.939684318999998</v>
      </c>
      <c r="D97" s="9">
        <f t="shared" ca="1" si="5"/>
        <v>0</v>
      </c>
      <c r="E97" s="9">
        <v>10.661996199999999</v>
      </c>
      <c r="F97" s="365">
        <f>IF(Ценообразование!$E$5=Справ!$I$14,Ценообразование!$F$5,G97)</f>
        <v>0.15</v>
      </c>
      <c r="G97" s="365">
        <f>IF(0&lt;COUNTIF(Петли!E:E,B97),НацПетли,SUMIF(ПМ!E:E,B97,ПМ!G:G))</f>
        <v>0.15</v>
      </c>
      <c r="H97" s="140">
        <f>IF(0&lt;COUNTIF(Петли!E:E,B97),3,IF(COUNTIFS(ПМ!E:E,B97,ПМ!B:B,Справ!$I$17)=1,1,IF(COUNTIFS(ПМ!E:E,B97,ПМ!B:B,Справ!$I$18)=1,2,0)))</f>
        <v>1</v>
      </c>
      <c r="I97" s="365">
        <f>IF(H97=1,IF(Ценообразование!$B$9=Справ!$I$11,Ценообразование!$C$9,G97),IF(H97=2,IF(Ценообразование!$E$9=Справ!$I$11,Ценообразование!$F$9,G97),IF(H97=3,НацПетли,0)))</f>
        <v>0.2</v>
      </c>
    </row>
    <row r="98" spans="2:9">
      <c r="B98" s="82" t="s">
        <v>41</v>
      </c>
      <c r="C98" s="184">
        <f t="shared" si="4"/>
        <v>14.833381927</v>
      </c>
      <c r="D98" s="9">
        <f t="shared" ca="1" si="5"/>
        <v>0</v>
      </c>
      <c r="E98" s="9">
        <v>9.9219945999999997</v>
      </c>
      <c r="F98" s="365">
        <f>IF(Ценообразование!$E$5=Справ!$I$14,Ценообразование!$F$5,G98)</f>
        <v>0.15</v>
      </c>
      <c r="G98" s="365">
        <f>IF(0&lt;COUNTIF(Петли!E:E,B98),НацПетли,SUMIF(ПМ!E:E,B98,ПМ!G:G))</f>
        <v>0.15</v>
      </c>
      <c r="H98" s="140">
        <f>IF(0&lt;COUNTIF(Петли!E:E,B98),3,IF(COUNTIFS(ПМ!E:E,B98,ПМ!B:B,Справ!$I$17)=1,1,IF(COUNTIFS(ПМ!E:E,B98,ПМ!B:B,Справ!$I$18)=1,2,0)))</f>
        <v>1</v>
      </c>
      <c r="I98" s="365">
        <f>IF(H98=1,IF(Ценообразование!$B$9=Справ!$I$11,Ценообразование!$C$9,G98),IF(H98=2,IF(Ценообразование!$E$9=Справ!$I$11,Ценообразование!$F$9,G98),IF(H98=3,НацПетли,0)))</f>
        <v>0.2</v>
      </c>
    </row>
    <row r="99" spans="2:9">
      <c r="B99" s="82" t="s">
        <v>147</v>
      </c>
      <c r="C99" s="184">
        <f t="shared" si="4"/>
        <v>16.314943670999998</v>
      </c>
      <c r="D99" s="9">
        <f t="shared" ca="1" si="5"/>
        <v>0</v>
      </c>
      <c r="E99" s="9">
        <v>10.913005799999999</v>
      </c>
      <c r="F99" s="365">
        <f>IF(Ценообразование!$E$5=Справ!$I$14,Ценообразование!$F$5,G99)</f>
        <v>0.15</v>
      </c>
      <c r="G99" s="365">
        <f>IF(0&lt;COUNTIF(Петли!E:E,B99),НацПетли,SUMIF(ПМ!E:E,B99,ПМ!G:G))</f>
        <v>0.15</v>
      </c>
      <c r="H99" s="140">
        <f>IF(0&lt;COUNTIF(Петли!E:E,B99),3,IF(COUNTIFS(ПМ!E:E,B99,ПМ!B:B,Справ!$I$17)=1,1,IF(COUNTIFS(ПМ!E:E,B99,ПМ!B:B,Справ!$I$18)=1,2,0)))</f>
        <v>1</v>
      </c>
      <c r="I99" s="365">
        <f>IF(H99=1,IF(Ценообразование!$B$9=Справ!$I$11,Ценообразование!$C$9,G99),IF(H99=2,IF(Ценообразование!$E$9=Справ!$I$11,Ценообразование!$F$9,G99),IF(H99=3,НацПетли,0)))</f>
        <v>0.2</v>
      </c>
    </row>
    <row r="100" spans="2:9">
      <c r="B100" s="82" t="s">
        <v>217</v>
      </c>
      <c r="C100" s="184">
        <f t="shared" ref="C100:C123" si="6">E100*(1+F100)*(1+РознНаценка*VLOOKUP(ФлагЦеныПрайса,ЦеныПрайса,2,0))</f>
        <v>0.60233430399999999</v>
      </c>
      <c r="D100" s="9">
        <f t="shared" ref="D100:D119" ca="1" si="7">C100*$D$2</f>
        <v>0</v>
      </c>
      <c r="E100" s="9">
        <v>0.40289920000000001</v>
      </c>
      <c r="F100" s="365">
        <f>IF(Ценообразование!$E$5=Справ!$I$14,Ценообразование!$F$5,G100)</f>
        <v>0.15</v>
      </c>
      <c r="G100" s="365">
        <f>IF(0&lt;COUNTIF(Петли!E:E,B100),НацПетли,SUMIF(ПМ!E:E,B100,ПМ!G:G))</f>
        <v>0.15</v>
      </c>
      <c r="H100" s="140">
        <f>IF(0&lt;COUNTIF(Петли!E:E,B100),3,IF(COUNTIFS(ПМ!E:E,B100,ПМ!B:B,Справ!$I$17)=1,1,IF(COUNTIFS(ПМ!E:E,B100,ПМ!B:B,Справ!$I$18)=1,2,0)))</f>
        <v>2</v>
      </c>
      <c r="I100" s="365">
        <f>IF(H100=1,IF(Ценообразование!$B$9=Справ!$I$11,Ценообразование!$C$9,G100),IF(H100=2,IF(Ценообразование!$E$9=Справ!$I$11,Ценообразование!$F$9,G100),IF(H100=3,НацПетли,0)))</f>
        <v>0.2</v>
      </c>
    </row>
    <row r="101" spans="2:9">
      <c r="B101" s="82" t="s">
        <v>242</v>
      </c>
      <c r="C101" s="184">
        <f t="shared" si="6"/>
        <v>0.35715968599999998</v>
      </c>
      <c r="D101" s="9">
        <f t="shared" ca="1" si="7"/>
        <v>0</v>
      </c>
      <c r="E101" s="9">
        <v>0.2389028</v>
      </c>
      <c r="F101" s="365">
        <f>IF(Ценообразование!$E$5=Справ!$I$14,Ценообразование!$F$5,G101)</f>
        <v>0.15</v>
      </c>
      <c r="G101" s="365">
        <f>IF(0&lt;COUNTIF(Петли!E:E,B101),НацПетли,SUMIF(ПМ!E:E,B101,ПМ!G:G))</f>
        <v>0.15</v>
      </c>
      <c r="H101" s="140">
        <f>IF(0&lt;COUNTIF(Петли!E:E,B101),3,IF(COUNTIFS(ПМ!E:E,B101,ПМ!B:B,Справ!$I$17)=1,1,IF(COUNTIFS(ПМ!E:E,B101,ПМ!B:B,Справ!$I$18)=1,2,0)))</f>
        <v>2</v>
      </c>
      <c r="I101" s="365">
        <f>IF(H101=1,IF(Ценообразование!$B$9=Справ!$I$11,Ценообразование!$C$9,G101),IF(H101=2,IF(Ценообразование!$E$9=Справ!$I$11,Ценообразование!$F$9,G101),IF(H101=3,НацПетли,0)))</f>
        <v>0.2</v>
      </c>
    </row>
    <row r="102" spans="2:9">
      <c r="B102" s="82" t="s">
        <v>243</v>
      </c>
      <c r="C102" s="184">
        <f t="shared" si="6"/>
        <v>0.35715968599999998</v>
      </c>
      <c r="D102" s="9">
        <f t="shared" ca="1" si="7"/>
        <v>0</v>
      </c>
      <c r="E102" s="9">
        <v>0.2389028</v>
      </c>
      <c r="F102" s="365">
        <f>IF(Ценообразование!$E$5=Справ!$I$14,Ценообразование!$F$5,G102)</f>
        <v>0.15</v>
      </c>
      <c r="G102" s="365">
        <f>IF(0&lt;COUNTIF(Петли!E:E,B102),НацПетли,SUMIF(ПМ!E:E,B102,ПМ!G:G))</f>
        <v>0.15</v>
      </c>
      <c r="H102" s="140">
        <f>IF(0&lt;COUNTIF(Петли!E:E,B102),3,IF(COUNTIFS(ПМ!E:E,B102,ПМ!B:B,Справ!$I$17)=1,1,IF(COUNTIFS(ПМ!E:E,B102,ПМ!B:B,Справ!$I$18)=1,2,0)))</f>
        <v>2</v>
      </c>
      <c r="I102" s="365">
        <f>IF(H102=1,IF(Ценообразование!$B$9=Справ!$I$11,Ценообразование!$C$9,G102),IF(H102=2,IF(Ценообразование!$E$9=Справ!$I$11,Ценообразование!$F$9,G102),IF(H102=3,НацПетли,0)))</f>
        <v>0.2</v>
      </c>
    </row>
    <row r="103" spans="2:9">
      <c r="B103" s="82" t="s">
        <v>248</v>
      </c>
      <c r="C103" s="184">
        <f t="shared" si="6"/>
        <v>0.56077210799999999</v>
      </c>
      <c r="D103" s="9">
        <f t="shared" ca="1" si="7"/>
        <v>0</v>
      </c>
      <c r="E103" s="9">
        <v>0.3750984</v>
      </c>
      <c r="F103" s="365">
        <f>IF(Ценообразование!$E$5=Справ!$I$14,Ценообразование!$F$5,G103)</f>
        <v>0.15</v>
      </c>
      <c r="G103" s="365">
        <f>IF(0&lt;COUNTIF(Петли!E:E,B103),НацПетли,SUMIF(ПМ!E:E,B103,ПМ!G:G))</f>
        <v>0.15</v>
      </c>
      <c r="H103" s="140">
        <f>IF(0&lt;COUNTIF(Петли!E:E,B103),3,IF(COUNTIFS(ПМ!E:E,B103,ПМ!B:B,Справ!$I$17)=1,1,IF(COUNTIFS(ПМ!E:E,B103,ПМ!B:B,Справ!$I$18)=1,2,0)))</f>
        <v>2</v>
      </c>
      <c r="I103" s="365">
        <f>IF(H103=1,IF(Ценообразование!$B$9=Справ!$I$11,Ценообразование!$C$9,G103),IF(H103=2,IF(Ценообразование!$E$9=Справ!$I$11,Ценообразование!$F$9,G103),IF(H103=3,НацПетли,0)))</f>
        <v>0.2</v>
      </c>
    </row>
    <row r="104" spans="2:9">
      <c r="B104" s="82" t="s">
        <v>246</v>
      </c>
      <c r="C104" s="184">
        <f t="shared" si="6"/>
        <v>0.411123505</v>
      </c>
      <c r="D104" s="9">
        <f t="shared" ca="1" si="7"/>
        <v>0</v>
      </c>
      <c r="E104" s="9">
        <v>0.27499899999999999</v>
      </c>
      <c r="F104" s="365">
        <f>IF(Ценообразование!$E$5=Справ!$I$14,Ценообразование!$F$5,G104)</f>
        <v>0.15</v>
      </c>
      <c r="G104" s="365">
        <f>IF(0&lt;COUNTIF(Петли!E:E,B104),НацПетли,SUMIF(ПМ!E:E,B104,ПМ!G:G))</f>
        <v>0.15</v>
      </c>
      <c r="H104" s="140">
        <f>IF(0&lt;COUNTIF(Петли!E:E,B104),3,IF(COUNTIFS(ПМ!E:E,B104,ПМ!B:B,Справ!$I$17)=1,1,IF(COUNTIFS(ПМ!E:E,B104,ПМ!B:B,Справ!$I$18)=1,2,0)))</f>
        <v>2</v>
      </c>
      <c r="I104" s="365">
        <f>IF(H104=1,IF(Ценообразование!$B$9=Справ!$I$11,Ценообразование!$C$9,G104),IF(H104=2,IF(Ценообразование!$E$9=Справ!$I$11,Ценообразование!$F$9,G104),IF(H104=3,НацПетли,0)))</f>
        <v>0.2</v>
      </c>
    </row>
    <row r="105" spans="2:9">
      <c r="B105" s="82" t="s">
        <v>250</v>
      </c>
      <c r="C105" s="184">
        <f t="shared" si="6"/>
        <v>2.0297558189999996</v>
      </c>
      <c r="D105" s="9">
        <f t="shared" ca="1" si="7"/>
        <v>0</v>
      </c>
      <c r="E105" s="9">
        <v>1.3576961999999999</v>
      </c>
      <c r="F105" s="365">
        <f>IF(Ценообразование!$E$5=Справ!$I$14,Ценообразование!$F$5,G105)</f>
        <v>0.15</v>
      </c>
      <c r="G105" s="365">
        <f>IF(0&lt;COUNTIF(Петли!E:E,B105),НацПетли,SUMIF(ПМ!E:E,B105,ПМ!G:G))</f>
        <v>0.15</v>
      </c>
      <c r="H105" s="140">
        <f>IF(0&lt;COUNTIF(Петли!E:E,B105),3,IF(COUNTIFS(ПМ!E:E,B105,ПМ!B:B,Справ!$I$17)=1,1,IF(COUNTIFS(ПМ!E:E,B105,ПМ!B:B,Справ!$I$18)=1,2,0)))</f>
        <v>3</v>
      </c>
      <c r="I105" s="365">
        <f>IF(H105=1,IF(Ценообразование!$B$9=Справ!$I$11,Ценообразование!$C$9,G105),IF(H105=2,IF(Ценообразование!$E$9=Справ!$I$11,Ценообразование!$F$9,G105),IF(H105=3,НацПетли,0)))</f>
        <v>0.15</v>
      </c>
    </row>
    <row r="106" spans="2:9">
      <c r="B106" s="82" t="s">
        <v>251</v>
      </c>
      <c r="C106" s="184">
        <f t="shared" si="6"/>
        <v>0.23605422099999998</v>
      </c>
      <c r="D106" s="9">
        <f t="shared" ca="1" si="7"/>
        <v>0</v>
      </c>
      <c r="E106" s="9">
        <v>0.1578958</v>
      </c>
      <c r="F106" s="365">
        <f>IF(Ценообразование!$E$5=Справ!$I$14,Ценообразование!$F$5,G106)</f>
        <v>0.15</v>
      </c>
      <c r="G106" s="365">
        <f>IF(0&lt;COUNTIF(Петли!E:E,B106),НацПетли,SUMIF(ПМ!E:E,B106,ПМ!G:G))</f>
        <v>0.15</v>
      </c>
      <c r="H106" s="140">
        <f>IF(0&lt;COUNTIF(Петли!E:E,B106),3,IF(COUNTIFS(ПМ!E:E,B106,ПМ!B:B,Справ!$I$17)=1,1,IF(COUNTIFS(ПМ!E:E,B106,ПМ!B:B,Справ!$I$18)=1,2,0)))</f>
        <v>3</v>
      </c>
      <c r="I106" s="365">
        <f>IF(H106=1,IF(Ценообразование!$B$9=Справ!$I$11,Ценообразование!$C$9,G106),IF(H106=2,IF(Ценообразование!$E$9=Справ!$I$11,Ценообразование!$F$9,G106),IF(H106=3,НацПетли,0)))</f>
        <v>0.15</v>
      </c>
    </row>
    <row r="107" spans="2:9">
      <c r="B107" s="82" t="s">
        <v>256</v>
      </c>
      <c r="C107" s="184">
        <f t="shared" si="6"/>
        <v>0.64867721099999986</v>
      </c>
      <c r="D107" s="9">
        <f t="shared" ca="1" si="7"/>
        <v>0</v>
      </c>
      <c r="E107" s="9">
        <v>0.43389779999999994</v>
      </c>
      <c r="F107" s="365">
        <f>IF(Ценообразование!$E$5=Справ!$I$14,Ценообразование!$F$5,G107)</f>
        <v>0.15</v>
      </c>
      <c r="G107" s="365">
        <f>IF(0&lt;COUNTIF(Петли!E:E,B107),НацПетли,SUMIF(ПМ!E:E,B107,ПМ!G:G))</f>
        <v>0.15</v>
      </c>
      <c r="H107" s="140">
        <f>IF(0&lt;COUNTIF(Петли!E:E,B107),3,IF(COUNTIFS(ПМ!E:E,B107,ПМ!B:B,Справ!$I$17)=1,1,IF(COUNTIFS(ПМ!E:E,B107,ПМ!B:B,Справ!$I$18)=1,2,0)))</f>
        <v>3</v>
      </c>
      <c r="I107" s="365">
        <f>IF(H107=1,IF(Ценообразование!$B$9=Справ!$I$11,Ценообразование!$C$9,G107),IF(H107=2,IF(Ценообразование!$E$9=Справ!$I$11,Ценообразование!$F$9,G107),IF(H107=3,НацПетли,0)))</f>
        <v>0.15</v>
      </c>
    </row>
    <row r="108" spans="2:9">
      <c r="B108" s="82" t="s">
        <v>181</v>
      </c>
      <c r="C108" s="184">
        <f t="shared" si="6"/>
        <v>6.0329221030000006</v>
      </c>
      <c r="D108" s="9">
        <f t="shared" ca="1" si="7"/>
        <v>0</v>
      </c>
      <c r="E108" s="9">
        <v>4.0353994000000002</v>
      </c>
      <c r="F108" s="365">
        <f>IF(Ценообразование!$E$5=Справ!$I$14,Ценообразование!$F$5,G108)</f>
        <v>0.15</v>
      </c>
      <c r="G108" s="365">
        <f>IF(0&lt;COUNTIF(Петли!E:E,B108),НацПетли,SUMIF(ПМ!E:E,B108,ПМ!G:G))</f>
        <v>0.15</v>
      </c>
      <c r="H108" s="140">
        <f>IF(0&lt;COUNTIF(Петли!E:E,B108),3,IF(COUNTIFS(ПМ!E:E,B108,ПМ!B:B,Справ!$I$17)=1,1,IF(COUNTIFS(ПМ!E:E,B108,ПМ!B:B,Справ!$I$18)=1,2,0)))</f>
        <v>1</v>
      </c>
      <c r="I108" s="365">
        <f>IF(H108=1,IF(Ценообразование!$B$9=Справ!$I$11,Ценообразование!$C$9,G108),IF(H108=2,IF(Ценообразование!$E$9=Справ!$I$11,Ценообразование!$F$9,G108),IF(H108=3,НацПетли,0)))</f>
        <v>0.2</v>
      </c>
    </row>
    <row r="109" spans="2:9">
      <c r="B109" s="82" t="s">
        <v>183</v>
      </c>
      <c r="C109" s="184">
        <f t="shared" si="6"/>
        <v>6.0329221030000006</v>
      </c>
      <c r="D109" s="9">
        <f t="shared" ca="1" si="7"/>
        <v>0</v>
      </c>
      <c r="E109" s="9">
        <v>4.0353994000000002</v>
      </c>
      <c r="F109" s="365">
        <f>IF(Ценообразование!$E$5=Справ!$I$14,Ценообразование!$F$5,G109)</f>
        <v>0.15</v>
      </c>
      <c r="G109" s="365">
        <f>IF(0&lt;COUNTIF(Петли!E:E,B109),НацПетли,SUMIF(ПМ!E:E,B109,ПМ!G:G))</f>
        <v>0.15</v>
      </c>
      <c r="H109" s="140">
        <f>IF(0&lt;COUNTIF(Петли!E:E,B109),3,IF(COUNTIFS(ПМ!E:E,B109,ПМ!B:B,Справ!$I$17)=1,1,IF(COUNTIFS(ПМ!E:E,B109,ПМ!B:B,Справ!$I$18)=1,2,0)))</f>
        <v>1</v>
      </c>
      <c r="I109" s="365">
        <f>IF(H109=1,IF(Ценообразование!$B$9=Справ!$I$11,Ценообразование!$C$9,G109),IF(H109=2,IF(Ценообразование!$E$9=Справ!$I$11,Ценообразование!$F$9,G109),IF(H109=3,НацПетли,0)))</f>
        <v>0.2</v>
      </c>
    </row>
    <row r="110" spans="2:9">
      <c r="B110" s="82" t="s">
        <v>185</v>
      </c>
      <c r="C110" s="184">
        <f t="shared" si="6"/>
        <v>6.0329221030000006</v>
      </c>
      <c r="D110" s="9">
        <f t="shared" ca="1" si="7"/>
        <v>0</v>
      </c>
      <c r="E110" s="9">
        <v>4.0353994000000002</v>
      </c>
      <c r="F110" s="365">
        <f>IF(Ценообразование!$E$5=Справ!$I$14,Ценообразование!$F$5,G110)</f>
        <v>0.15</v>
      </c>
      <c r="G110" s="365">
        <f>IF(0&lt;COUNTIF(Петли!E:E,B110),НацПетли,SUMIF(ПМ!E:E,B110,ПМ!G:G))</f>
        <v>0.15</v>
      </c>
      <c r="H110" s="140">
        <f>IF(0&lt;COUNTIF(Петли!E:E,B110),3,IF(COUNTIFS(ПМ!E:E,B110,ПМ!B:B,Справ!$I$17)=1,1,IF(COUNTIFS(ПМ!E:E,B110,ПМ!B:B,Справ!$I$18)=1,2,0)))</f>
        <v>1</v>
      </c>
      <c r="I110" s="365">
        <f>IF(H110=1,IF(Ценообразование!$B$9=Справ!$I$11,Ценообразование!$C$9,G110),IF(H110=2,IF(Ценообразование!$E$9=Справ!$I$11,Ценообразование!$F$9,G110),IF(H110=3,НацПетли,0)))</f>
        <v>0.2</v>
      </c>
    </row>
    <row r="111" spans="2:9">
      <c r="B111" s="82" t="s">
        <v>344</v>
      </c>
      <c r="C111" s="184">
        <f t="shared" si="6"/>
        <v>0.34669857300000001</v>
      </c>
      <c r="D111" s="9">
        <f t="shared" ca="1" si="7"/>
        <v>0</v>
      </c>
      <c r="E111" s="9">
        <v>0.23190540000000001</v>
      </c>
      <c r="F111" s="365">
        <f>IF(Ценообразование!$E$5=Справ!$I$14,Ценообразование!$F$5,G111)</f>
        <v>0.15</v>
      </c>
      <c r="G111" s="365">
        <f>IF(0&lt;COUNTIF(Петли!E:E,B111),НацПетли,SUMIF(ПМ!E:E,B111,ПМ!G:G))</f>
        <v>0.15</v>
      </c>
      <c r="H111" s="140">
        <f>IF(0&lt;COUNTIF(Петли!E:E,B111),3,IF(COUNTIFS(ПМ!E:E,B111,ПМ!B:B,Справ!$I$17)=1,1,IF(COUNTIFS(ПМ!E:E,B111,ПМ!B:B,Справ!$I$18)=1,2,0)))</f>
        <v>3</v>
      </c>
      <c r="I111" s="365">
        <f>IF(H111=1,IF(Ценообразование!$B$9=Справ!$I$11,Ценообразование!$C$9,G111),IF(H111=2,IF(Ценообразование!$E$9=Справ!$I$11,Ценообразование!$F$9,G111),IF(H111=3,НацПетли,0)))</f>
        <v>0.15</v>
      </c>
    </row>
    <row r="112" spans="2:9">
      <c r="B112" s="82" t="s">
        <v>346</v>
      </c>
      <c r="C112" s="184">
        <f t="shared" si="6"/>
        <v>0.12422792199999998</v>
      </c>
      <c r="D112" s="9">
        <f t="shared" ca="1" si="7"/>
        <v>0</v>
      </c>
      <c r="E112" s="9">
        <v>8.3095599999999992E-2</v>
      </c>
      <c r="F112" s="365">
        <f>IF(Ценообразование!$E$5=Справ!$I$14,Ценообразование!$F$5,G112)</f>
        <v>0.15</v>
      </c>
      <c r="G112" s="365">
        <f>IF(0&lt;COUNTIF(Петли!E:E,B112),НацПетли,SUMIF(ПМ!E:E,B112,ПМ!G:G))</f>
        <v>0.15</v>
      </c>
      <c r="H112" s="140">
        <f>IF(0&lt;COUNTIF(Петли!E:E,B112),3,IF(COUNTIFS(ПМ!E:E,B112,ПМ!B:B,Справ!$I$17)=1,1,IF(COUNTIFS(ПМ!E:E,B112,ПМ!B:B,Справ!$I$18)=1,2,0)))</f>
        <v>3</v>
      </c>
      <c r="I112" s="365">
        <f>IF(H112=1,IF(Ценообразование!$B$9=Справ!$I$11,Ценообразование!$C$9,G112),IF(H112=2,IF(Ценообразование!$E$9=Справ!$I$11,Ценообразование!$F$9,G112),IF(H112=3,НацПетли,0)))</f>
        <v>0.15</v>
      </c>
    </row>
    <row r="113" spans="2:9">
      <c r="B113" s="82" t="s">
        <v>347</v>
      </c>
      <c r="C113" s="184">
        <f t="shared" si="6"/>
        <v>0.11414494</v>
      </c>
      <c r="D113" s="9">
        <f t="shared" ca="1" si="7"/>
        <v>0</v>
      </c>
      <c r="E113" s="9">
        <v>8.7803800000000001E-2</v>
      </c>
      <c r="F113" s="365">
        <f>IF(Ценообразование!$E$5=Справ!$I$14,Ценообразование!$F$5,G113)</f>
        <v>0</v>
      </c>
      <c r="G113" s="365">
        <f>IF(0&lt;COUNTIF(Петли!E:E,B113),НацПетли,SUMIF(ПМ!E:E,B113,ПМ!G:G))</f>
        <v>0</v>
      </c>
      <c r="H113" s="140">
        <f>IF(0&lt;COUNTIF(Петли!E:E,B113),3,IF(COUNTIFS(ПМ!E:E,B113,ПМ!B:B,Справ!$I$17)=1,1,IF(COUNTIFS(ПМ!E:E,B113,ПМ!B:B,Справ!$I$18)=1,2,0)))</f>
        <v>0</v>
      </c>
      <c r="I113" s="365">
        <f>IF(H113=1,IF(Ценообразование!$B$9=Справ!$I$11,Ценообразование!$C$9,G113),IF(H113=2,IF(Ценообразование!$E$9=Справ!$I$11,Ценообразование!$F$9,G113),IF(H113=3,НацПетли,0)))</f>
        <v>0</v>
      </c>
    </row>
    <row r="114" spans="2:9">
      <c r="B114" s="82" t="s">
        <v>349</v>
      </c>
      <c r="C114" s="184">
        <f t="shared" si="6"/>
        <v>1.8754852739999999</v>
      </c>
      <c r="D114" s="9">
        <f t="shared" ca="1" si="7"/>
        <v>0</v>
      </c>
      <c r="E114" s="9">
        <v>1.2545051999999999</v>
      </c>
      <c r="F114" s="365">
        <f>IF(Ценообразование!$E$5=Справ!$I$14,Ценообразование!$F$5,G114)</f>
        <v>0.15</v>
      </c>
      <c r="G114" s="365">
        <f>IF(0&lt;COUNTIF(Петли!E:E,B114),НацПетли,SUMIF(ПМ!E:E,B114,ПМ!G:G))</f>
        <v>0.15</v>
      </c>
      <c r="H114" s="140">
        <f>IF(0&lt;COUNTIF(Петли!E:E,B114),3,IF(COUNTIFS(ПМ!E:E,B114,ПМ!B:B,Справ!$I$17)=1,1,IF(COUNTIFS(ПМ!E:E,B114,ПМ!B:B,Справ!$I$18)=1,2,0)))</f>
        <v>2</v>
      </c>
      <c r="I114" s="365">
        <f>IF(H114=1,IF(Ценообразование!$B$9=Справ!$I$11,Ценообразование!$C$9,G114),IF(H114=2,IF(Ценообразование!$E$9=Справ!$I$11,Ценообразование!$F$9,G114),IF(H114=3,НацПетли,0)))</f>
        <v>0.2</v>
      </c>
    </row>
    <row r="115" spans="2:9">
      <c r="B115" s="82" t="s">
        <v>352</v>
      </c>
      <c r="C115" s="184">
        <f t="shared" si="6"/>
        <v>1.8754852739999999</v>
      </c>
      <c r="D115" s="9">
        <f t="shared" ca="1" si="7"/>
        <v>0</v>
      </c>
      <c r="E115" s="9">
        <v>1.2545051999999999</v>
      </c>
      <c r="F115" s="365">
        <f>IF(Ценообразование!$E$5=Справ!$I$14,Ценообразование!$F$5,G115)</f>
        <v>0.15</v>
      </c>
      <c r="G115" s="365">
        <f>IF(0&lt;COUNTIF(Петли!E:E,B115),НацПетли,SUMIF(ПМ!E:E,B115,ПМ!G:G))</f>
        <v>0.15</v>
      </c>
      <c r="H115" s="140">
        <f>IF(0&lt;COUNTIF(Петли!E:E,B115),3,IF(COUNTIFS(ПМ!E:E,B115,ПМ!B:B,Справ!$I$17)=1,1,IF(COUNTIFS(ПМ!E:E,B115,ПМ!B:B,Справ!$I$18)=1,2,0)))</f>
        <v>2</v>
      </c>
      <c r="I115" s="365">
        <f>IF(H115=1,IF(Ценообразование!$B$9=Справ!$I$11,Ценообразование!$C$9,G115),IF(H115=2,IF(Ценообразование!$E$9=Справ!$I$11,Ценообразование!$F$9,G115),IF(H115=3,НацПетли,0)))</f>
        <v>0.2</v>
      </c>
    </row>
    <row r="116" spans="2:9">
      <c r="B116" s="82" t="s">
        <v>355</v>
      </c>
      <c r="C116" s="184">
        <f t="shared" si="6"/>
        <v>2.9159514539999996</v>
      </c>
      <c r="D116" s="9">
        <f t="shared" ca="1" si="7"/>
        <v>0</v>
      </c>
      <c r="E116" s="9">
        <v>1.9504691999999999</v>
      </c>
      <c r="F116" s="365">
        <f>IF(Ценообразование!$E$5=Справ!$I$14,Ценообразование!$F$5,G116)</f>
        <v>0.15</v>
      </c>
      <c r="G116" s="365">
        <f>IF(0&lt;COUNTIF(Петли!E:E,B116),НацПетли,SUMIF(ПМ!E:E,B116,ПМ!G:G))</f>
        <v>0.15</v>
      </c>
      <c r="H116" s="140">
        <f>IF(0&lt;COUNTIF(Петли!E:E,B116),3,IF(COUNTIFS(ПМ!E:E,B116,ПМ!B:B,Справ!$I$17)=1,1,IF(COUNTIFS(ПМ!E:E,B116,ПМ!B:B,Справ!$I$18)=1,2,0)))</f>
        <v>2</v>
      </c>
      <c r="I116" s="365">
        <f>IF(H116=1,IF(Ценообразование!$B$9=Справ!$I$11,Ценообразование!$C$9,G116),IF(H116=2,IF(Ценообразование!$E$9=Справ!$I$11,Ценообразование!$F$9,G116),IF(H116=3,НацПетли,0)))</f>
        <v>0.2</v>
      </c>
    </row>
    <row r="117" spans="2:9">
      <c r="B117" s="82" t="s">
        <v>357</v>
      </c>
      <c r="C117" s="184">
        <f t="shared" si="6"/>
        <v>2.2045881000000001</v>
      </c>
      <c r="D117" s="9">
        <f t="shared" ca="1" si="7"/>
        <v>0</v>
      </c>
      <c r="E117" s="9">
        <v>1.3044899999999999</v>
      </c>
      <c r="F117" s="365">
        <f>IF(Ценообразование!$E$5=Справ!$I$14,Ценообразование!$F$5,G117)</f>
        <v>0.3</v>
      </c>
      <c r="G117" s="365">
        <f>IF(0&lt;COUNTIF(Петли!E:E,B117),НацПетли,SUMIF(ПМ!E:E,B117,ПМ!G:G))</f>
        <v>0.3</v>
      </c>
      <c r="H117" s="140">
        <f>IF(0&lt;COUNTIF(Петли!E:E,B117),3,IF(COUNTIFS(ПМ!E:E,B117,ПМ!B:B,Справ!$I$17)=1,1,IF(COUNTIFS(ПМ!E:E,B117,ПМ!B:B,Справ!$I$18)=1,2,0)))</f>
        <v>0</v>
      </c>
      <c r="I117" s="365">
        <f>IF(H117=1,IF(Ценообразование!$B$9=Справ!$I$11,Ценообразование!$C$9,G117),IF(H117=2,IF(Ценообразование!$E$9=Справ!$I$11,Ценообразование!$F$9,G117),IF(H117=3,НацПетли,0)))</f>
        <v>0</v>
      </c>
    </row>
    <row r="118" spans="2:9">
      <c r="B118" s="82" t="s">
        <v>359</v>
      </c>
      <c r="C118" s="184">
        <f t="shared" si="6"/>
        <v>2.11245606</v>
      </c>
      <c r="D118" s="9">
        <f t="shared" ca="1" si="7"/>
        <v>0</v>
      </c>
      <c r="E118" s="9">
        <v>1.2499739999999999</v>
      </c>
      <c r="F118" s="365">
        <f>IF(Ценообразование!$E$5=Справ!$I$14,Ценообразование!$F$5,G118)</f>
        <v>0.3</v>
      </c>
      <c r="G118" s="365">
        <f>IF(0&lt;COUNTIF(Петли!E:E,B118),НацПетли,SUMIF(ПМ!E:E,B118,ПМ!G:G))</f>
        <v>0.3</v>
      </c>
      <c r="H118" s="140">
        <f>IF(0&lt;COUNTIF(Петли!E:E,B118),3,IF(COUNTIFS(ПМ!E:E,B118,ПМ!B:B,Справ!$I$17)=1,1,IF(COUNTIFS(ПМ!E:E,B118,ПМ!B:B,Справ!$I$18)=1,2,0)))</f>
        <v>0</v>
      </c>
      <c r="I118" s="365">
        <f>IF(H118=1,IF(Ценообразование!$B$9=Справ!$I$11,Ценообразование!$C$9,G118),IF(H118=2,IF(Ценообразование!$E$9=Справ!$I$11,Ценообразование!$F$9,G118),IF(H118=3,НацПетли,0)))</f>
        <v>0</v>
      </c>
    </row>
    <row r="119" spans="2:9">
      <c r="B119" s="82" t="s">
        <v>361</v>
      </c>
      <c r="C119" s="184">
        <f t="shared" si="6"/>
        <v>2.5350070980000003</v>
      </c>
      <c r="D119" s="9">
        <f t="shared" ca="1" si="7"/>
        <v>0</v>
      </c>
      <c r="E119" s="9">
        <v>1.5000042</v>
      </c>
      <c r="F119" s="365">
        <f>IF(Ценообразование!$E$5=Справ!$I$14,Ценообразование!$F$5,G119)</f>
        <v>0.3</v>
      </c>
      <c r="G119" s="365">
        <f>IF(0&lt;COUNTIF(Петли!E:E,B119),НацПетли,SUMIF(ПМ!E:E,B119,ПМ!G:G))</f>
        <v>0.3</v>
      </c>
      <c r="H119" s="140">
        <f>IF(0&lt;COUNTIF(Петли!E:E,B119),3,IF(COUNTIFS(ПМ!E:E,B119,ПМ!B:B,Справ!$I$17)=1,1,IF(COUNTIFS(ПМ!E:E,B119,ПМ!B:B,Справ!$I$18)=1,2,0)))</f>
        <v>0</v>
      </c>
      <c r="I119" s="365">
        <f>IF(H119=1,IF(Ценообразование!$B$9=Справ!$I$11,Ценообразование!$C$9,G119),IF(H119=2,IF(Ценообразование!$E$9=Справ!$I$11,Ценообразование!$F$9,G119),IF(H119=3,НацПетли,0)))</f>
        <v>0</v>
      </c>
    </row>
    <row r="120" spans="2:9">
      <c r="B120" s="82" t="s">
        <v>445</v>
      </c>
      <c r="C120" s="184">
        <f t="shared" si="6"/>
        <v>0.6749975829999999</v>
      </c>
      <c r="D120" s="9">
        <f ca="1">C120*$D$2</f>
        <v>0</v>
      </c>
      <c r="E120" s="9">
        <v>0.4515034</v>
      </c>
      <c r="F120" s="365">
        <f>IF(Ценообразование!$E$5=Справ!$I$14,Ценообразование!$F$5,G120)</f>
        <v>0.15</v>
      </c>
      <c r="G120" s="365">
        <f>IF(0&lt;COUNTIF(Петли!E:E,B120),НацПетли,SUMIF(ПМ!E:E,B120,ПМ!G:G))</f>
        <v>0.15</v>
      </c>
      <c r="H120" s="140">
        <f>IF(0&lt;COUNTIF(Петли!E:E,B120),3,IF(COUNTIFS(ПМ!E:E,B120,ПМ!B:B,Справ!$I$17)=1,1,IF(COUNTIFS(ПМ!E:E,B120,ПМ!B:B,Справ!$I$18)=1,2,0)))</f>
        <v>3</v>
      </c>
      <c r="I120" s="365">
        <f>IF(H120=1,IF(Ценообразование!$B$9=Справ!$I$11,Ценообразование!$C$9,G120),IF(H120=2,IF(Ценообразование!$E$9=Справ!$I$11,Ценообразование!$F$9,G120),IF(H120=3,НацПетли,0)))</f>
        <v>0.15</v>
      </c>
    </row>
    <row r="121" spans="2:9">
      <c r="B121" s="82" t="s">
        <v>447</v>
      </c>
      <c r="C121" s="184">
        <f t="shared" si="6"/>
        <v>0.13634728899999998</v>
      </c>
      <c r="D121" s="9">
        <f ca="1">C121*$D$2</f>
        <v>0</v>
      </c>
      <c r="E121" s="9">
        <v>9.1202199999999997E-2</v>
      </c>
      <c r="F121" s="365">
        <f>IF(Ценообразование!$E$5=Справ!$I$14,Ценообразование!$F$5,G121)</f>
        <v>0.15</v>
      </c>
      <c r="G121" s="365">
        <f>IF(0&lt;COUNTIF(Петли!E:E,B121),НацПетли,SUMIF(ПМ!E:E,B121,ПМ!G:G))</f>
        <v>0.15</v>
      </c>
      <c r="H121" s="140">
        <f>IF(0&lt;COUNTIF(Петли!E:E,B121),3,IF(COUNTIFS(ПМ!E:E,B121,ПМ!B:B,Справ!$I$17)=1,1,IF(COUNTIFS(ПМ!E:E,B121,ПМ!B:B,Справ!$I$18)=1,2,0)))</f>
        <v>3</v>
      </c>
      <c r="I121" s="365">
        <f>IF(H121=1,IF(Ценообразование!$B$9=Справ!$I$11,Ценообразование!$C$9,G121),IF(H121=2,IF(Ценообразование!$E$9=Справ!$I$11,Ценообразование!$F$9,G121),IF(H121=3,НацПетли,0)))</f>
        <v>0.15</v>
      </c>
    </row>
    <row r="122" spans="2:9">
      <c r="B122" s="82" t="s">
        <v>457</v>
      </c>
      <c r="C122" s="184">
        <f t="shared" si="6"/>
        <v>2.2770297159999995</v>
      </c>
      <c r="D122" s="9">
        <f ca="1">C122*$D$2</f>
        <v>0</v>
      </c>
      <c r="E122" s="9">
        <v>1.5230967999999998</v>
      </c>
      <c r="F122" s="365">
        <f>IF(Ценообразование!$E$5=Справ!$I$14,Ценообразование!$F$5,G122)</f>
        <v>0.15</v>
      </c>
      <c r="G122" s="365">
        <f>IF(0&lt;COUNTIF(Петли!E:E,B122),НацПетли,SUMIF(ПМ!E:E,B122,ПМ!G:G))</f>
        <v>0.15</v>
      </c>
      <c r="H122" s="140">
        <f>IF(0&lt;COUNTIF(Петли!E:E,B122),3,IF(COUNTIFS(ПМ!E:E,B122,ПМ!B:B,Справ!$I$17)=1,1,IF(COUNTIFS(ПМ!E:E,B122,ПМ!B:B,Справ!$I$18)=1,2,0)))</f>
        <v>3</v>
      </c>
      <c r="I122" s="365">
        <f>IF(H122=1,IF(Ценообразование!$B$9=Справ!$I$11,Ценообразование!$C$9,G122),IF(H122=2,IF(Ценообразование!$E$9=Справ!$I$11,Ценообразование!$F$9,G122),IF(H122=3,НацПетли,0)))</f>
        <v>0.15</v>
      </c>
    </row>
    <row r="123" spans="2:9">
      <c r="B123" s="82" t="s">
        <v>459</v>
      </c>
      <c r="C123" s="184">
        <f t="shared" si="6"/>
        <v>1.2719513819999999</v>
      </c>
      <c r="D123" s="9">
        <f ca="1">C123*$D$2</f>
        <v>0</v>
      </c>
      <c r="E123" s="9">
        <v>0.85080359999999999</v>
      </c>
      <c r="F123" s="365">
        <f>IF(Ценообразование!$E$5=Справ!$I$14,Ценообразование!$F$5,G123)</f>
        <v>0.15</v>
      </c>
      <c r="G123" s="365">
        <f>IF(0&lt;COUNTIF(Петли!E:E,B123),НацПетли,SUMIF(ПМ!E:E,B123,ПМ!G:G))</f>
        <v>0.15</v>
      </c>
      <c r="H123" s="140">
        <f>IF(0&lt;COUNTIF(Петли!E:E,B123),3,IF(COUNTIFS(ПМ!E:E,B123,ПМ!B:B,Справ!$I$17)=1,1,IF(COUNTIFS(ПМ!E:E,B123,ПМ!B:B,Справ!$I$18)=1,2,0)))</f>
        <v>3</v>
      </c>
      <c r="I123" s="365">
        <f>IF(H123=1,IF(Ценообразование!$B$9=Справ!$I$11,Ценообразование!$C$9,G123),IF(H123=2,IF(Ценообразование!$E$9=Справ!$I$11,Ценообразование!$F$9,G123),IF(H123=3,НацПетли,0)))</f>
        <v>0.15</v>
      </c>
    </row>
    <row r="124" spans="2:9">
      <c r="B124" s="82" t="s">
        <v>508</v>
      </c>
      <c r="C124" s="184">
        <f t="shared" ref="C124:C138" si="8">E124*(1+F124)*(1+РознНаценка*VLOOKUP(ФлагЦеныПрайса,ЦеныПрайса,2,0))</f>
        <v>7.9405492789999998</v>
      </c>
      <c r="D124" s="9">
        <f ca="1">C124*$D$2</f>
        <v>0</v>
      </c>
      <c r="E124" s="9">
        <v>5.3114042000000001</v>
      </c>
      <c r="F124" s="365">
        <f>IF(Ценообразование!$E$5=Справ!$I$14,Ценообразование!$F$5,G124)</f>
        <v>0.15</v>
      </c>
      <c r="G124" s="365">
        <f>IF(0&lt;COUNTIF(Петли!E:E,B124),НацПетли,SUMIF(ПМ!E:E,B124,ПМ!G:G))</f>
        <v>0.15</v>
      </c>
      <c r="H124" s="140">
        <f>IF(0&lt;COUNTIF(Петли!E:E,B124),3,IF(COUNTIFS(ПМ!E:E,B124,ПМ!B:B,Справ!$I$17)=1,1,IF(COUNTIFS(ПМ!E:E,B124,ПМ!B:B,Справ!$I$18)=1,2,0)))</f>
        <v>1</v>
      </c>
      <c r="I124" s="365">
        <f>IF(H124=1,IF(Ценообразование!$B$9=Справ!$I$11,Ценообразование!$C$9,G124),IF(H124=2,IF(Ценообразование!$E$9=Справ!$I$11,Ценообразование!$F$9,G124),IF(H124=3,НацПетли,0)))</f>
        <v>0.2</v>
      </c>
    </row>
    <row r="125" spans="2:9">
      <c r="B125" s="9" t="s">
        <v>519</v>
      </c>
      <c r="C125" s="184">
        <f t="shared" si="8"/>
        <v>3.1864409069999993</v>
      </c>
      <c r="D125" s="9">
        <f t="shared" ref="D125:D135" ca="1" si="9">C125*$D$2</f>
        <v>0</v>
      </c>
      <c r="E125" s="9">
        <v>2.1313985999999998</v>
      </c>
      <c r="F125" s="365">
        <f>IF(Ценообразование!$E$5=Справ!$I$14,Ценообразование!$F$5,G125)</f>
        <v>0.15</v>
      </c>
      <c r="G125" s="365">
        <f>IF(0&lt;COUNTIF(Петли!E:E,B125),НацПетли,SUMIF(ПМ!E:E,B125,ПМ!G:G))</f>
        <v>0.15</v>
      </c>
      <c r="H125" s="140">
        <f>IF(0&lt;COUNTIF(Петли!E:E,B125),3,IF(COUNTIFS(ПМ!E:E,B125,ПМ!B:B,Справ!$I$17)=1,1,IF(COUNTIFS(ПМ!E:E,B125,ПМ!B:B,Справ!$I$18)=1,2,0)))</f>
        <v>2</v>
      </c>
      <c r="I125" s="365">
        <f>IF(H125=1,IF(Ценообразование!$B$9=Справ!$I$11,Ценообразование!$C$9,G125),IF(H125=2,IF(Ценообразование!$E$9=Справ!$I$11,Ценообразование!$F$9,G125),IF(H125=3,НацПетли,0)))</f>
        <v>0.2</v>
      </c>
    </row>
    <row r="126" spans="2:9">
      <c r="B126" s="9" t="s">
        <v>520</v>
      </c>
      <c r="C126" s="184">
        <f t="shared" si="8"/>
        <v>3.1864409069999993</v>
      </c>
      <c r="D126" s="9">
        <f t="shared" ca="1" si="9"/>
        <v>0</v>
      </c>
      <c r="E126" s="9">
        <v>2.1313985999999998</v>
      </c>
      <c r="F126" s="365">
        <f>IF(Ценообразование!$E$5=Справ!$I$14,Ценообразование!$F$5,G126)</f>
        <v>0.15</v>
      </c>
      <c r="G126" s="365">
        <f>IF(0&lt;COUNTIF(Петли!E:E,B126),НацПетли,SUMIF(ПМ!E:E,B126,ПМ!G:G))</f>
        <v>0.15</v>
      </c>
      <c r="H126" s="140">
        <f>IF(0&lt;COUNTIF(Петли!E:E,B126),3,IF(COUNTIFS(ПМ!E:E,B126,ПМ!B:B,Справ!$I$17)=1,1,IF(COUNTIFS(ПМ!E:E,B126,ПМ!B:B,Справ!$I$18)=1,2,0)))</f>
        <v>2</v>
      </c>
      <c r="I126" s="365">
        <f>IF(H126=1,IF(Ценообразование!$B$9=Справ!$I$11,Ценообразование!$C$9,G126),IF(H126=2,IF(Ценообразование!$E$9=Справ!$I$11,Ценообразование!$F$9,G126),IF(H126=3,НацПетли,0)))</f>
        <v>0.2</v>
      </c>
    </row>
    <row r="127" spans="2:9">
      <c r="B127" s="9" t="s">
        <v>521</v>
      </c>
      <c r="C127" s="184">
        <f t="shared" si="8"/>
        <v>3.1864409069999993</v>
      </c>
      <c r="D127" s="9">
        <f t="shared" ca="1" si="9"/>
        <v>0</v>
      </c>
      <c r="E127" s="9">
        <v>2.1313985999999998</v>
      </c>
      <c r="F127" s="365">
        <f>IF(Ценообразование!$E$5=Справ!$I$14,Ценообразование!$F$5,G127)</f>
        <v>0.15</v>
      </c>
      <c r="G127" s="365">
        <f>IF(0&lt;COUNTIF(Петли!E:E,B127),НацПетли,SUMIF(ПМ!E:E,B127,ПМ!G:G))</f>
        <v>0.15</v>
      </c>
      <c r="H127" s="140">
        <f>IF(0&lt;COUNTIF(Петли!E:E,B127),3,IF(COUNTIFS(ПМ!E:E,B127,ПМ!B:B,Справ!$I$17)=1,1,IF(COUNTIFS(ПМ!E:E,B127,ПМ!B:B,Справ!$I$18)=1,2,0)))</f>
        <v>2</v>
      </c>
      <c r="I127" s="365">
        <f>IF(H127=1,IF(Ценообразование!$B$9=Справ!$I$11,Ценообразование!$C$9,G127),IF(H127=2,IF(Ценообразование!$E$9=Справ!$I$11,Ценообразование!$F$9,G127),IF(H127=3,НацПетли,0)))</f>
        <v>0.2</v>
      </c>
    </row>
    <row r="128" spans="2:9">
      <c r="B128" s="9" t="s">
        <v>522</v>
      </c>
      <c r="C128" s="184">
        <f t="shared" si="8"/>
        <v>3.176120922</v>
      </c>
      <c r="D128" s="9">
        <f t="shared" ca="1" si="9"/>
        <v>0</v>
      </c>
      <c r="E128" s="9">
        <v>2.1244955999999999</v>
      </c>
      <c r="F128" s="365">
        <f>IF(Ценообразование!$E$5=Справ!$I$14,Ценообразование!$F$5,G128)</f>
        <v>0.15</v>
      </c>
      <c r="G128" s="365">
        <f>IF(0&lt;COUNTIF(Петли!E:E,B128),НацПетли,SUMIF(ПМ!E:E,B128,ПМ!G:G))</f>
        <v>0.15</v>
      </c>
      <c r="H128" s="140">
        <f>IF(0&lt;COUNTIF(Петли!E:E,B128),3,IF(COUNTIFS(ПМ!E:E,B128,ПМ!B:B,Справ!$I$17)=1,1,IF(COUNTIFS(ПМ!E:E,B128,ПМ!B:B,Справ!$I$18)=1,2,0)))</f>
        <v>2</v>
      </c>
      <c r="I128" s="365">
        <f>IF(H128=1,IF(Ценообразование!$B$9=Справ!$I$11,Ценообразование!$C$9,G128),IF(H128=2,IF(Ценообразование!$E$9=Справ!$I$11,Ценообразование!$F$9,G128),IF(H128=3,НацПетли,0)))</f>
        <v>0.2</v>
      </c>
    </row>
    <row r="129" spans="2:9">
      <c r="B129" s="9" t="s">
        <v>523</v>
      </c>
      <c r="C129" s="184">
        <f t="shared" si="8"/>
        <v>3.1759797939999994</v>
      </c>
      <c r="D129" s="9">
        <f t="shared" ca="1" si="9"/>
        <v>0</v>
      </c>
      <c r="E129" s="9">
        <v>2.1244011999999999</v>
      </c>
      <c r="F129" s="365">
        <f>IF(Ценообразование!$E$5=Справ!$I$14,Ценообразование!$F$5,G129)</f>
        <v>0.15</v>
      </c>
      <c r="G129" s="365">
        <f>IF(0&lt;COUNTIF(Петли!E:E,B129),НацПетли,SUMIF(ПМ!E:E,B129,ПМ!G:G))</f>
        <v>0.15</v>
      </c>
      <c r="H129" s="140">
        <f>IF(0&lt;COUNTIF(Петли!E:E,B129),3,IF(COUNTIFS(ПМ!E:E,B129,ПМ!B:B,Справ!$I$17)=1,1,IF(COUNTIFS(ПМ!E:E,B129,ПМ!B:B,Справ!$I$18)=1,2,0)))</f>
        <v>2</v>
      </c>
      <c r="I129" s="365">
        <f>IF(H129=1,IF(Ценообразование!$B$9=Справ!$I$11,Ценообразование!$C$9,G129),IF(H129=2,IF(Ценообразование!$E$9=Справ!$I$11,Ценообразование!$F$9,G129),IF(H129=3,НацПетли,0)))</f>
        <v>0.2</v>
      </c>
    </row>
    <row r="130" spans="2:9">
      <c r="B130" s="9" t="s">
        <v>524</v>
      </c>
      <c r="C130" s="184">
        <f t="shared" si="8"/>
        <v>3.1834595779999999</v>
      </c>
      <c r="D130" s="9">
        <f t="shared" ca="1" si="9"/>
        <v>0</v>
      </c>
      <c r="E130" s="9">
        <v>2.1294043999999999</v>
      </c>
      <c r="F130" s="365">
        <f>IF(Ценообразование!$E$5=Справ!$I$14,Ценообразование!$F$5,G130)</f>
        <v>0.15</v>
      </c>
      <c r="G130" s="365">
        <f>IF(0&lt;COUNTIF(Петли!E:E,B130),НацПетли,SUMIF(ПМ!E:E,B130,ПМ!G:G))</f>
        <v>0.15</v>
      </c>
      <c r="H130" s="140">
        <f>IF(0&lt;COUNTIF(Петли!E:E,B130),3,IF(COUNTIFS(ПМ!E:E,B130,ПМ!B:B,Справ!$I$17)=1,1,IF(COUNTIFS(ПМ!E:E,B130,ПМ!B:B,Справ!$I$18)=1,2,0)))</f>
        <v>2</v>
      </c>
      <c r="I130" s="365">
        <f>IF(H130=1,IF(Ценообразование!$B$9=Справ!$I$11,Ценообразование!$C$9,G130),IF(H130=2,IF(Ценообразование!$E$9=Справ!$I$11,Ценообразование!$F$9,G130),IF(H130=3,НацПетли,0)))</f>
        <v>0.2</v>
      </c>
    </row>
    <row r="131" spans="2:9">
      <c r="B131" s="9" t="s">
        <v>528</v>
      </c>
      <c r="C131" s="184">
        <f t="shared" si="8"/>
        <v>1.237569073</v>
      </c>
      <c r="D131" s="9">
        <f t="shared" ca="1" si="9"/>
        <v>0</v>
      </c>
      <c r="E131" s="9">
        <v>0.82780539999999991</v>
      </c>
      <c r="F131" s="365">
        <f>IF(Ценообразование!$E$5=Справ!$I$14,Ценообразование!$F$5,G131)</f>
        <v>0.15</v>
      </c>
      <c r="G131" s="365">
        <f>IF(0&lt;COUNTIF(Петли!E:E,B131),НацПетли,SUMIF(ПМ!E:E,B131,ПМ!G:G))</f>
        <v>0.15</v>
      </c>
      <c r="H131" s="140">
        <f>IF(0&lt;COUNTIF(Петли!E:E,B131),3,IF(COUNTIFS(ПМ!E:E,B131,ПМ!B:B,Справ!$I$17)=1,1,IF(COUNTIFS(ПМ!E:E,B131,ПМ!B:B,Справ!$I$18)=1,2,0)))</f>
        <v>2</v>
      </c>
      <c r="I131" s="365">
        <f>IF(H131=1,IF(Ценообразование!$B$9=Справ!$I$11,Ценообразование!$C$9,G131),IF(H131=2,IF(Ценообразование!$E$9=Справ!$I$11,Ценообразование!$F$9,G131),IF(H131=3,НацПетли,0)))</f>
        <v>0.2</v>
      </c>
    </row>
    <row r="132" spans="2:9">
      <c r="B132" s="9" t="s">
        <v>539</v>
      </c>
      <c r="C132" s="184">
        <f t="shared" si="8"/>
        <v>4.4643549469999995</v>
      </c>
      <c r="D132" s="9">
        <f t="shared" ca="1" si="9"/>
        <v>0</v>
      </c>
      <c r="E132" s="9">
        <v>2.9861906</v>
      </c>
      <c r="F132" s="365">
        <f>IF(Ценообразование!$E$5=Справ!$I$14,Ценообразование!$F$5,G132)</f>
        <v>0.15</v>
      </c>
      <c r="G132" s="365">
        <f>IF(0&lt;COUNTIF(Петли!E:E,B132),НацПетли,SUMIF(ПМ!E:E,B132,ПМ!G:G))</f>
        <v>0.15</v>
      </c>
      <c r="H132" s="140">
        <f>IF(0&lt;COUNTIF(Петли!E:E,B132),3,IF(COUNTIFS(ПМ!E:E,B132,ПМ!B:B,Справ!$I$17)=1,1,IF(COUNTIFS(ПМ!E:E,B132,ПМ!B:B,Справ!$I$18)=1,2,0)))</f>
        <v>2</v>
      </c>
      <c r="I132" s="365">
        <f>IF(H132=1,IF(Ценообразование!$B$9=Справ!$I$11,Ценообразование!$C$9,G132),IF(H132=2,IF(Ценообразование!$E$9=Справ!$I$11,Ценообразование!$F$9,G132),IF(H132=3,НацПетли,0)))</f>
        <v>0.2</v>
      </c>
    </row>
    <row r="133" spans="2:9">
      <c r="B133" s="9" t="s">
        <v>540</v>
      </c>
      <c r="C133" s="184">
        <f t="shared" si="8"/>
        <v>4.6892247739999995</v>
      </c>
      <c r="D133" s="9">
        <f t="shared" ca="1" si="9"/>
        <v>0</v>
      </c>
      <c r="E133" s="9">
        <v>3.1366052</v>
      </c>
      <c r="F133" s="365">
        <f>IF(Ценообразование!$E$5=Справ!$I$14,Ценообразование!$F$5,G133)</f>
        <v>0.15</v>
      </c>
      <c r="G133" s="365">
        <f>IF(0&lt;COUNTIF(Петли!E:E,B133),НацПетли,SUMIF(ПМ!E:E,B133,ПМ!G:G))</f>
        <v>0.15</v>
      </c>
      <c r="H133" s="140">
        <f>IF(0&lt;COUNTIF(Петли!E:E,B133),3,IF(COUNTIFS(ПМ!E:E,B133,ПМ!B:B,Справ!$I$17)=1,1,IF(COUNTIFS(ПМ!E:E,B133,ПМ!B:B,Справ!$I$18)=1,2,0)))</f>
        <v>2</v>
      </c>
      <c r="I133" s="365">
        <f>IF(H133=1,IF(Ценообразование!$B$9=Справ!$I$11,Ценообразование!$C$9,G133),IF(H133=2,IF(Ценообразование!$E$9=Справ!$I$11,Ценообразование!$F$9,G133),IF(H133=3,НацПетли,0)))</f>
        <v>0.2</v>
      </c>
    </row>
    <row r="134" spans="2:9">
      <c r="B134" s="9" t="s">
        <v>543</v>
      </c>
      <c r="C134" s="184">
        <f t="shared" si="8"/>
        <v>4.4643549469999995</v>
      </c>
      <c r="D134" s="9">
        <f t="shared" ca="1" si="9"/>
        <v>0</v>
      </c>
      <c r="E134" s="9">
        <v>2.9861906</v>
      </c>
      <c r="F134" s="365">
        <f>IF(Ценообразование!$E$5=Справ!$I$14,Ценообразование!$F$5,G134)</f>
        <v>0.15</v>
      </c>
      <c r="G134" s="365">
        <f>IF(0&lt;COUNTIF(Петли!E:E,B134),НацПетли,SUMIF(ПМ!E:E,B134,ПМ!G:G))</f>
        <v>0.15</v>
      </c>
      <c r="H134" s="140">
        <f>IF(0&lt;COUNTIF(Петли!E:E,B134),3,IF(COUNTIFS(ПМ!E:E,B134,ПМ!B:B,Справ!$I$17)=1,1,IF(COUNTIFS(ПМ!E:E,B134,ПМ!B:B,Справ!$I$18)=1,2,0)))</f>
        <v>2</v>
      </c>
      <c r="I134" s="365">
        <f>IF(H134=1,IF(Ценообразование!$B$9=Справ!$I$11,Ценообразование!$C$9,G134),IF(H134=2,IF(Ценообразование!$E$9=Справ!$I$11,Ценообразование!$F$9,G134),IF(H134=3,НацПетли,0)))</f>
        <v>0.2</v>
      </c>
    </row>
    <row r="135" spans="2:9">
      <c r="B135" s="9" t="s">
        <v>545</v>
      </c>
      <c r="C135" s="184">
        <f t="shared" si="8"/>
        <v>0.29915607799999994</v>
      </c>
      <c r="D135" s="9">
        <f t="shared" ca="1" si="9"/>
        <v>0</v>
      </c>
      <c r="E135" s="9">
        <v>0.20010439999999999</v>
      </c>
      <c r="F135" s="365">
        <f>IF(Ценообразование!$E$5=Справ!$I$14,Ценообразование!$F$5,G135)</f>
        <v>0.15</v>
      </c>
      <c r="G135" s="365">
        <f>IF(0&lt;COUNTIF(Петли!E:E,B135),НацПетли,SUMIF(ПМ!E:E,B135,ПМ!G:G))</f>
        <v>0.15</v>
      </c>
      <c r="H135" s="140">
        <f>IF(0&lt;COUNTIF(Петли!E:E,B135),3,IF(COUNTIFS(ПМ!E:E,B135,ПМ!B:B,Справ!$I$17)=1,1,IF(COUNTIFS(ПМ!E:E,B135,ПМ!B:B,Справ!$I$18)=1,2,0)))</f>
        <v>2</v>
      </c>
      <c r="I135" s="365">
        <f>IF(H135=1,IF(Ценообразование!$B$9=Справ!$I$11,Ценообразование!$C$9,G135),IF(H135=2,IF(Ценообразование!$E$9=Справ!$I$11,Ценообразование!$F$9,G135),IF(H135=3,НацПетли,0)))</f>
        <v>0.2</v>
      </c>
    </row>
    <row r="136" spans="2:9">
      <c r="B136" s="9" t="s">
        <v>551</v>
      </c>
      <c r="C136" s="184">
        <f t="shared" si="8"/>
        <v>2.6883119899999999</v>
      </c>
      <c r="D136" s="9">
        <f t="shared" ref="D136:D138" ca="1" si="10">C136*$D$2</f>
        <v>0</v>
      </c>
      <c r="E136" s="9">
        <v>1.7982019999999999</v>
      </c>
      <c r="F136" s="365">
        <f>IF(Ценообразование!$E$5=Справ!$I$14,Ценообразование!$F$5,G136)</f>
        <v>0.15</v>
      </c>
      <c r="G136" s="365">
        <f>IF(0&lt;COUNTIF(Петли!E:E,B136),НацПетли,SUMIF(ПМ!E:E,B136,ПМ!G:G))</f>
        <v>0.15</v>
      </c>
      <c r="H136" s="140">
        <f>IF(0&lt;COUNTIF(Петли!E:E,B136),3,IF(COUNTIFS(ПМ!E:E,B136,ПМ!B:B,Справ!$I$17)=1,1,IF(COUNTIFS(ПМ!E:E,B136,ПМ!B:B,Справ!$I$18)=1,2,0)))</f>
        <v>3</v>
      </c>
      <c r="I136" s="365">
        <f>IF(H136=1,IF(Ценообразование!$B$9=Справ!$I$11,Ценообразование!$C$9,G136),IF(H136=2,IF(Ценообразование!$E$9=Справ!$I$11,Ценообразование!$F$9,G136),IF(H136=3,НацПетли,0)))</f>
        <v>0.15</v>
      </c>
    </row>
    <row r="137" spans="2:9">
      <c r="B137" s="9" t="s">
        <v>556</v>
      </c>
      <c r="C137" s="184">
        <f t="shared" si="8"/>
        <v>79.030039386999988</v>
      </c>
      <c r="D137" s="9">
        <f t="shared" ca="1" si="10"/>
        <v>0</v>
      </c>
      <c r="E137" s="9">
        <v>52.862902599999998</v>
      </c>
      <c r="F137" s="365">
        <f>IF(Ценообразование!$E$5=Справ!$I$14,Ценообразование!$F$5,G137)</f>
        <v>0.15</v>
      </c>
      <c r="G137" s="365">
        <f>IF(0&lt;COUNTIF(Петли!E:E,B137),НацПетли,SUMIF(ПМ!E:E,B137,ПМ!G:G))</f>
        <v>0.15</v>
      </c>
      <c r="H137" s="140">
        <f>IF(0&lt;COUNTIF(Петли!E:E,B137),3,IF(COUNTIFS(ПМ!E:E,B137,ПМ!B:B,Справ!$I$17)=1,1,IF(COUNTIFS(ПМ!E:E,B137,ПМ!B:B,Справ!$I$18)=1,2,0)))</f>
        <v>1</v>
      </c>
      <c r="I137" s="365">
        <f>IF(H137=1,IF(Ценообразование!$B$9=Справ!$I$11,Ценообразование!$C$9,G137),IF(H137=2,IF(Ценообразование!$E$9=Справ!$I$11,Ценообразование!$F$9,G137),IF(H137=3,НацПетли,0)))</f>
        <v>0.2</v>
      </c>
    </row>
    <row r="138" spans="2:9">
      <c r="B138" s="9" t="s">
        <v>554</v>
      </c>
      <c r="C138" s="184">
        <f t="shared" si="8"/>
        <v>79.030039386999988</v>
      </c>
      <c r="D138" s="9">
        <f t="shared" ca="1" si="10"/>
        <v>0</v>
      </c>
      <c r="E138" s="9">
        <v>52.862902599999998</v>
      </c>
      <c r="F138" s="365">
        <f>IF(Ценообразование!$E$5=Справ!$I$14,Ценообразование!$F$5,G138)</f>
        <v>0.15</v>
      </c>
      <c r="G138" s="365">
        <f>IF(0&lt;COUNTIF(Петли!E:E,B138),НацПетли,SUMIF(ПМ!E:E,B138,ПМ!G:G))</f>
        <v>0.15</v>
      </c>
      <c r="H138" s="140">
        <f>IF(0&lt;COUNTIF(Петли!E:E,B138),3,IF(COUNTIFS(ПМ!E:E,B138,ПМ!B:B,Справ!$I$17)=1,1,IF(COUNTIFS(ПМ!E:E,B138,ПМ!B:B,Справ!$I$18)=1,2,0)))</f>
        <v>1</v>
      </c>
      <c r="I138" s="365">
        <f>IF(H138=1,IF(Ценообразование!$B$9=Справ!$I$11,Ценообразование!$C$9,G138),IF(H138=2,IF(Ценообразование!$E$9=Справ!$I$11,Ценообразование!$F$9,G138),IF(H138=3,НацПетли,0)))</f>
        <v>0.2</v>
      </c>
    </row>
  </sheetData>
  <sheetProtection password="CEE3" sheet="1" objects="1" scenarios="1" selectLockedCells="1" selectUnlockedCells="1"/>
  <sortState ref="B4:B192">
    <sortCondition ref="B4"/>
  </sortState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2"/>
  <dimension ref="A1:X370"/>
  <sheetViews>
    <sheetView zoomScale="90" zoomScaleNormal="90" workbookViewId="0">
      <selection activeCell="L16" sqref="L16"/>
    </sheetView>
  </sheetViews>
  <sheetFormatPr defaultColWidth="9.140625" defaultRowHeight="15"/>
  <cols>
    <col min="1" max="1" width="7.5703125" style="9" customWidth="1"/>
    <col min="2" max="2" width="8.140625" style="9" customWidth="1"/>
    <col min="3" max="3" width="6.5703125" style="9" customWidth="1"/>
    <col min="4" max="4" width="4" style="9" customWidth="1"/>
    <col min="5" max="6" width="11.85546875" style="9" customWidth="1"/>
    <col min="7" max="7" width="19.42578125" style="9" customWidth="1"/>
    <col min="8" max="11" width="8.28515625" style="9" customWidth="1"/>
    <col min="12" max="12" width="14.140625" style="9" customWidth="1"/>
    <col min="13" max="13" width="8.28515625" style="9" customWidth="1"/>
    <col min="14" max="14" width="11.5703125" style="9" customWidth="1"/>
    <col min="15" max="15" width="10.85546875" style="9" customWidth="1"/>
    <col min="16" max="17" width="9.140625" style="9"/>
    <col min="18" max="18" width="7.5703125" style="9" customWidth="1"/>
    <col min="19" max="19" width="3.85546875" style="9" customWidth="1"/>
    <col min="20" max="20" width="12.140625" style="9" customWidth="1"/>
    <col min="21" max="21" width="9.140625" style="9" customWidth="1"/>
    <col min="22" max="22" width="10.140625" style="9" customWidth="1"/>
    <col min="23" max="16384" width="9.140625" style="9"/>
  </cols>
  <sheetData>
    <row r="1" spans="1:18">
      <c r="Q1" s="126"/>
      <c r="R1" s="126"/>
    </row>
    <row r="3" spans="1:18">
      <c r="D3" s="128"/>
      <c r="E3" s="129" t="s">
        <v>31</v>
      </c>
      <c r="F3" s="128" t="s">
        <v>365</v>
      </c>
      <c r="G3" s="130"/>
      <c r="H3" s="131" t="s">
        <v>85</v>
      </c>
      <c r="I3" s="132">
        <f>'Free-Серия'!M5</f>
        <v>5.9367999999999999</v>
      </c>
      <c r="J3" s="132"/>
      <c r="K3" s="133"/>
      <c r="L3" s="131" t="s">
        <v>141</v>
      </c>
      <c r="M3" s="134">
        <f>'Free-Серия'!I5</f>
        <v>800</v>
      </c>
      <c r="Q3" s="135"/>
      <c r="R3" s="136"/>
    </row>
    <row r="4" spans="1:18">
      <c r="D4" s="137" t="s">
        <v>0</v>
      </c>
      <c r="E4" s="137" t="s">
        <v>370</v>
      </c>
      <c r="F4" s="137" t="s">
        <v>371</v>
      </c>
      <c r="G4" s="137"/>
      <c r="H4" s="138" t="s">
        <v>366</v>
      </c>
      <c r="I4" s="138" t="s">
        <v>367</v>
      </c>
      <c r="J4" s="138" t="s">
        <v>396</v>
      </c>
      <c r="K4" s="138" t="s">
        <v>395</v>
      </c>
      <c r="L4" s="138" t="s">
        <v>368</v>
      </c>
      <c r="M4" s="138" t="s">
        <v>369</v>
      </c>
      <c r="N4" s="138" t="s">
        <v>88</v>
      </c>
      <c r="O4" s="138" t="s">
        <v>397</v>
      </c>
      <c r="P4" s="138" t="s">
        <v>122</v>
      </c>
      <c r="Q4" s="138" t="s">
        <v>85</v>
      </c>
      <c r="R4" s="138" t="s">
        <v>141</v>
      </c>
    </row>
    <row r="5" spans="1:18">
      <c r="A5" s="140" t="str">
        <f t="shared" ref="A5:A20" si="0">IF(AND(FFDВысота&gt;=FFDВыСот,FFDВысота&lt;=FFDВыСдо,FFDВес&gt;=FFDВеСот,FFDВес&lt;=FFDВеСдо),FFD№,"-")</f>
        <v>-</v>
      </c>
      <c r="B5" s="141" t="str">
        <f t="shared" ref="B5:B20" si="1">IF(A5&lt;&gt;"-",ABS((FFDВес-H5)/(I5-H5)*2-1),"-")</f>
        <v>-</v>
      </c>
      <c r="C5" s="140" t="str">
        <f t="shared" ref="C5:C20" si="2">IF(ISNUMBER(A5),IF(O5=O6,IF(B5&lt;=B6,A5,"-"),IF(O4=O5,IF(B4&gt;B5,A5,"-"),A5)),"-")</f>
        <v>-</v>
      </c>
      <c r="D5" s="142">
        <v>1</v>
      </c>
      <c r="E5" s="143" t="s">
        <v>24</v>
      </c>
      <c r="F5" s="143" t="s">
        <v>23</v>
      </c>
      <c r="G5" s="144"/>
      <c r="H5" s="9">
        <v>4.3</v>
      </c>
      <c r="I5" s="9">
        <v>9.1999999999999993</v>
      </c>
      <c r="J5" s="145"/>
      <c r="K5" s="145"/>
      <c r="L5" s="9">
        <v>580</v>
      </c>
      <c r="M5" s="9">
        <v>650</v>
      </c>
      <c r="N5" s="146" t="s">
        <v>90</v>
      </c>
      <c r="O5" s="146" t="s">
        <v>387</v>
      </c>
      <c r="Q5" s="147"/>
      <c r="R5" s="140"/>
    </row>
    <row r="6" spans="1:18">
      <c r="A6" s="140" t="str">
        <f t="shared" si="0"/>
        <v>-</v>
      </c>
      <c r="B6" s="141" t="str">
        <f t="shared" si="1"/>
        <v>-</v>
      </c>
      <c r="C6" s="140" t="str">
        <f t="shared" si="2"/>
        <v>-</v>
      </c>
      <c r="D6" s="142">
        <v>2</v>
      </c>
      <c r="E6" s="143" t="s">
        <v>92</v>
      </c>
      <c r="F6" s="143" t="s">
        <v>94</v>
      </c>
      <c r="G6" s="144"/>
      <c r="H6" s="9">
        <v>6.5</v>
      </c>
      <c r="I6" s="9">
        <v>13.5</v>
      </c>
      <c r="J6" s="145"/>
      <c r="K6" s="145"/>
      <c r="L6" s="9">
        <v>580</v>
      </c>
      <c r="M6" s="9">
        <v>650</v>
      </c>
      <c r="N6" s="146" t="s">
        <v>93</v>
      </c>
      <c r="O6" s="146" t="s">
        <v>387</v>
      </c>
      <c r="Q6" s="147"/>
      <c r="R6" s="140"/>
    </row>
    <row r="7" spans="1:18">
      <c r="A7" s="140" t="str">
        <f t="shared" si="0"/>
        <v>-</v>
      </c>
      <c r="B7" s="141" t="str">
        <f t="shared" si="1"/>
        <v>-</v>
      </c>
      <c r="C7" s="140" t="str">
        <f t="shared" si="2"/>
        <v>-</v>
      </c>
      <c r="D7" s="142">
        <v>3</v>
      </c>
      <c r="E7" s="143" t="s">
        <v>95</v>
      </c>
      <c r="F7" s="143" t="s">
        <v>97</v>
      </c>
      <c r="G7" s="143"/>
      <c r="H7" s="9">
        <v>3.9</v>
      </c>
      <c r="I7" s="9">
        <v>7.9</v>
      </c>
      <c r="J7" s="145"/>
      <c r="K7" s="145"/>
      <c r="L7" s="9">
        <v>650</v>
      </c>
      <c r="M7" s="9">
        <v>730</v>
      </c>
      <c r="N7" s="146" t="s">
        <v>96</v>
      </c>
      <c r="O7" s="148" t="s">
        <v>388</v>
      </c>
      <c r="Q7" s="147"/>
      <c r="R7" s="140"/>
    </row>
    <row r="8" spans="1:18">
      <c r="A8" s="140" t="str">
        <f t="shared" si="0"/>
        <v>-</v>
      </c>
      <c r="B8" s="141" t="str">
        <f t="shared" si="1"/>
        <v>-</v>
      </c>
      <c r="C8" s="140" t="str">
        <f t="shared" si="2"/>
        <v>-</v>
      </c>
      <c r="D8" s="142">
        <v>4</v>
      </c>
      <c r="E8" s="143" t="s">
        <v>98</v>
      </c>
      <c r="F8" s="143" t="s">
        <v>100</v>
      </c>
      <c r="G8" s="143"/>
      <c r="H8" s="9">
        <v>5.8</v>
      </c>
      <c r="I8" s="9">
        <v>12.2</v>
      </c>
      <c r="K8" s="145"/>
      <c r="L8" s="9">
        <v>650</v>
      </c>
      <c r="M8" s="9">
        <v>730</v>
      </c>
      <c r="N8" s="146" t="s">
        <v>99</v>
      </c>
      <c r="O8" s="148" t="s">
        <v>388</v>
      </c>
      <c r="Q8" s="147"/>
      <c r="R8" s="140"/>
    </row>
    <row r="9" spans="1:18">
      <c r="A9" s="140" t="str">
        <f t="shared" si="0"/>
        <v>-</v>
      </c>
      <c r="B9" s="141" t="str">
        <f t="shared" si="1"/>
        <v>-</v>
      </c>
      <c r="C9" s="140" t="str">
        <f t="shared" si="2"/>
        <v>-</v>
      </c>
      <c r="D9" s="142">
        <v>5</v>
      </c>
      <c r="E9" s="143" t="s">
        <v>101</v>
      </c>
      <c r="F9" s="143" t="s">
        <v>103</v>
      </c>
      <c r="G9" s="143"/>
      <c r="H9" s="9">
        <v>5.3</v>
      </c>
      <c r="I9" s="9">
        <v>11.1</v>
      </c>
      <c r="K9" s="145"/>
      <c r="L9" s="9">
        <v>710</v>
      </c>
      <c r="M9" s="9">
        <v>790</v>
      </c>
      <c r="N9" s="146" t="s">
        <v>102</v>
      </c>
      <c r="O9" s="148" t="s">
        <v>389</v>
      </c>
      <c r="Q9" s="147"/>
      <c r="R9" s="140"/>
    </row>
    <row r="10" spans="1:18">
      <c r="A10" s="140" t="str">
        <f t="shared" si="0"/>
        <v>-</v>
      </c>
      <c r="B10" s="141" t="str">
        <f t="shared" si="1"/>
        <v>-</v>
      </c>
      <c r="C10" s="140" t="str">
        <f t="shared" si="2"/>
        <v>-</v>
      </c>
      <c r="D10" s="142">
        <v>6</v>
      </c>
      <c r="E10" s="143" t="s">
        <v>104</v>
      </c>
      <c r="F10" s="143" t="s">
        <v>106</v>
      </c>
      <c r="G10" s="144"/>
      <c r="H10" s="9">
        <v>8.6999999999999993</v>
      </c>
      <c r="I10" s="9">
        <v>17.2</v>
      </c>
      <c r="J10" s="145"/>
      <c r="K10" s="145"/>
      <c r="L10" s="9">
        <v>710</v>
      </c>
      <c r="M10" s="9">
        <v>790</v>
      </c>
      <c r="N10" s="146" t="s">
        <v>105</v>
      </c>
      <c r="O10" s="148" t="s">
        <v>389</v>
      </c>
      <c r="Q10" s="147"/>
      <c r="R10" s="140"/>
    </row>
    <row r="11" spans="1:18">
      <c r="A11" s="140">
        <f t="shared" si="0"/>
        <v>7</v>
      </c>
      <c r="B11" s="141">
        <f t="shared" si="1"/>
        <v>0.61600000000000021</v>
      </c>
      <c r="C11" s="140">
        <f t="shared" si="2"/>
        <v>7</v>
      </c>
      <c r="D11" s="142">
        <v>7</v>
      </c>
      <c r="E11" s="143" t="s">
        <v>107</v>
      </c>
      <c r="F11" s="143" t="s">
        <v>109</v>
      </c>
      <c r="G11" s="144"/>
      <c r="H11" s="9">
        <v>4.9000000000000004</v>
      </c>
      <c r="I11" s="9">
        <v>10.3</v>
      </c>
      <c r="J11" s="145"/>
      <c r="K11" s="145"/>
      <c r="L11" s="9">
        <v>770</v>
      </c>
      <c r="M11" s="9">
        <v>840</v>
      </c>
      <c r="N11" s="146" t="s">
        <v>108</v>
      </c>
      <c r="O11" s="148" t="s">
        <v>390</v>
      </c>
      <c r="Q11" s="147"/>
      <c r="R11" s="140"/>
    </row>
    <row r="12" spans="1:18">
      <c r="A12" s="140" t="str">
        <f t="shared" si="0"/>
        <v>-</v>
      </c>
      <c r="B12" s="141" t="str">
        <f t="shared" si="1"/>
        <v>-</v>
      </c>
      <c r="C12" s="140" t="str">
        <f t="shared" si="2"/>
        <v>-</v>
      </c>
      <c r="D12" s="142">
        <v>8</v>
      </c>
      <c r="E12" s="143" t="s">
        <v>110</v>
      </c>
      <c r="F12" s="143" t="s">
        <v>112</v>
      </c>
      <c r="G12" s="144"/>
      <c r="H12" s="9">
        <v>8</v>
      </c>
      <c r="I12" s="9">
        <v>16.7</v>
      </c>
      <c r="J12" s="145"/>
      <c r="K12" s="145"/>
      <c r="L12" s="9">
        <v>770</v>
      </c>
      <c r="M12" s="9">
        <v>840</v>
      </c>
      <c r="N12" s="146" t="s">
        <v>111</v>
      </c>
      <c r="O12" s="148" t="s">
        <v>390</v>
      </c>
      <c r="Q12" s="147"/>
      <c r="R12" s="140"/>
    </row>
    <row r="13" spans="1:18">
      <c r="A13" s="140" t="str">
        <f t="shared" si="0"/>
        <v>-</v>
      </c>
      <c r="B13" s="141" t="str">
        <f t="shared" si="1"/>
        <v>-</v>
      </c>
      <c r="C13" s="140" t="str">
        <f t="shared" si="2"/>
        <v>-</v>
      </c>
      <c r="D13" s="142">
        <v>9</v>
      </c>
      <c r="E13" s="143" t="s">
        <v>113</v>
      </c>
      <c r="F13" s="143" t="s">
        <v>115</v>
      </c>
      <c r="G13" s="144"/>
      <c r="H13" s="9">
        <v>4.5</v>
      </c>
      <c r="I13" s="9">
        <v>9</v>
      </c>
      <c r="J13" s="145"/>
      <c r="K13" s="145"/>
      <c r="L13" s="9">
        <v>840</v>
      </c>
      <c r="M13" s="9">
        <v>910</v>
      </c>
      <c r="N13" s="146" t="s">
        <v>114</v>
      </c>
      <c r="O13" s="148" t="s">
        <v>391</v>
      </c>
      <c r="Q13" s="147"/>
      <c r="R13" s="140"/>
    </row>
    <row r="14" spans="1:18">
      <c r="A14" s="140" t="str">
        <f t="shared" si="0"/>
        <v>-</v>
      </c>
      <c r="B14" s="141" t="str">
        <f t="shared" si="1"/>
        <v>-</v>
      </c>
      <c r="C14" s="140" t="str">
        <f>IF(ISNUMBER(A14),IF(O14=O16,IF(B14&lt;=B16,A14,"-"),IF(O13=O14,IF(B13&gt;B14,A14,"-"),A14)),"-")</f>
        <v>-</v>
      </c>
      <c r="D14" s="142">
        <v>10</v>
      </c>
      <c r="E14" s="143" t="s">
        <v>116</v>
      </c>
      <c r="F14" s="143" t="s">
        <v>118</v>
      </c>
      <c r="G14" s="144"/>
      <c r="H14" s="9">
        <v>7.3</v>
      </c>
      <c r="I14" s="9">
        <v>15.3</v>
      </c>
      <c r="J14" s="145"/>
      <c r="K14" s="145"/>
      <c r="L14" s="9">
        <v>840</v>
      </c>
      <c r="M14" s="9">
        <v>910</v>
      </c>
      <c r="N14" s="146" t="s">
        <v>117</v>
      </c>
      <c r="O14" s="148" t="s">
        <v>391</v>
      </c>
      <c r="Q14" s="147"/>
      <c r="R14" s="140"/>
    </row>
    <row r="15" spans="1:18">
      <c r="A15" s="140" t="str">
        <f t="shared" si="0"/>
        <v>-</v>
      </c>
      <c r="B15" s="141" t="str">
        <f t="shared" ref="B15:B16" si="3">IF(A15&lt;&gt;"-",ABS((FFDВес-H15)/(I15-H15)*2-1),"-")</f>
        <v>-</v>
      </c>
      <c r="C15" s="140" t="str">
        <f>IF(ISNUMBER(A15),IF(O15=O18,IF(B15&lt;=B18,A15,"-"),IF(O14=O15,IF(B14&gt;B15,A15,"-"),A15)),"-")</f>
        <v>-</v>
      </c>
      <c r="D15" s="142">
        <v>11</v>
      </c>
      <c r="E15" s="143" t="s">
        <v>554</v>
      </c>
      <c r="F15" s="143"/>
      <c r="G15" s="144"/>
      <c r="H15" s="9">
        <v>4.2</v>
      </c>
      <c r="I15" s="9">
        <v>8</v>
      </c>
      <c r="J15" s="145"/>
      <c r="K15" s="145"/>
      <c r="L15" s="9">
        <v>910</v>
      </c>
      <c r="M15" s="9">
        <v>970</v>
      </c>
      <c r="N15" s="146" t="s">
        <v>555</v>
      </c>
      <c r="O15" s="148" t="s">
        <v>392</v>
      </c>
      <c r="Q15" s="147"/>
      <c r="R15" s="140"/>
    </row>
    <row r="16" spans="1:18">
      <c r="A16" s="140" t="str">
        <f t="shared" si="0"/>
        <v>-</v>
      </c>
      <c r="B16" s="141" t="str">
        <f t="shared" si="3"/>
        <v>-</v>
      </c>
      <c r="C16" s="140" t="str">
        <f>IF(ISNUMBER(A16),IF(O16=O19,IF(B16&lt;=B19,A16,"-"),IF(O15=O16,IF(B15&gt;B16,A16,"-"),A16)),"-")</f>
        <v>-</v>
      </c>
      <c r="D16" s="142">
        <v>12</v>
      </c>
      <c r="E16" s="143" t="s">
        <v>119</v>
      </c>
      <c r="F16" s="143" t="s">
        <v>121</v>
      </c>
      <c r="G16" s="144"/>
      <c r="H16" s="9">
        <v>6.8</v>
      </c>
      <c r="I16" s="9">
        <v>14.2</v>
      </c>
      <c r="J16" s="145"/>
      <c r="K16" s="145"/>
      <c r="L16" s="9">
        <v>910</v>
      </c>
      <c r="M16" s="9">
        <v>970</v>
      </c>
      <c r="N16" s="146" t="s">
        <v>120</v>
      </c>
      <c r="O16" s="148" t="s">
        <v>392</v>
      </c>
      <c r="Q16" s="147"/>
      <c r="R16" s="140"/>
    </row>
    <row r="17" spans="1:24">
      <c r="A17" s="140" t="str">
        <f t="shared" si="0"/>
        <v>-</v>
      </c>
      <c r="B17" s="141" t="str">
        <f t="shared" ref="B17:B19" si="4">IF(A17&lt;&gt;"-",ABS((FFDВес-H17)/(I17-H17)*2-1),"-")</f>
        <v>-</v>
      </c>
      <c r="C17" s="140" t="str">
        <f t="shared" ref="C17:C19" si="5">IF(ISNUMBER(A17),IF(O17=O20,IF(B17&lt;=B20,A17,"-"),IF(O16=O17,IF(B16&gt;B17,A17,"-"),A17)),"-")</f>
        <v>-</v>
      </c>
      <c r="D17" s="142">
        <v>13</v>
      </c>
      <c r="E17" s="143" t="s">
        <v>556</v>
      </c>
      <c r="F17" s="143"/>
      <c r="G17" s="144"/>
      <c r="H17" s="9">
        <v>3.9</v>
      </c>
      <c r="I17" s="9">
        <v>7</v>
      </c>
      <c r="J17" s="145"/>
      <c r="K17" s="145"/>
      <c r="L17" s="9">
        <v>960</v>
      </c>
      <c r="M17" s="9">
        <v>1010</v>
      </c>
      <c r="N17" s="146" t="s">
        <v>557</v>
      </c>
      <c r="O17" s="148" t="s">
        <v>393</v>
      </c>
      <c r="Q17" s="147"/>
      <c r="R17" s="140"/>
    </row>
    <row r="18" spans="1:24">
      <c r="A18" s="140" t="str">
        <f t="shared" si="0"/>
        <v>-</v>
      </c>
      <c r="B18" s="141" t="str">
        <f t="shared" si="4"/>
        <v>-</v>
      </c>
      <c r="C18" s="140" t="str">
        <f t="shared" si="5"/>
        <v>-</v>
      </c>
      <c r="D18" s="142">
        <v>14</v>
      </c>
      <c r="E18" s="143" t="s">
        <v>219</v>
      </c>
      <c r="F18" s="143" t="s">
        <v>220</v>
      </c>
      <c r="G18" s="144"/>
      <c r="H18" s="9">
        <v>6.5</v>
      </c>
      <c r="I18" s="9">
        <v>12.8</v>
      </c>
      <c r="J18" s="145"/>
      <c r="K18" s="145"/>
      <c r="L18" s="9">
        <v>960</v>
      </c>
      <c r="M18" s="9">
        <v>1010</v>
      </c>
      <c r="N18" s="146" t="s">
        <v>221</v>
      </c>
      <c r="O18" s="148" t="s">
        <v>393</v>
      </c>
      <c r="Q18" s="147"/>
      <c r="R18" s="140"/>
    </row>
    <row r="19" spans="1:24">
      <c r="A19" s="140" t="str">
        <f t="shared" si="0"/>
        <v>-</v>
      </c>
      <c r="B19" s="141" t="str">
        <f t="shared" si="4"/>
        <v>-</v>
      </c>
      <c r="C19" s="140" t="str">
        <f t="shared" si="5"/>
        <v>-</v>
      </c>
      <c r="D19" s="142">
        <v>15</v>
      </c>
      <c r="E19" s="143" t="s">
        <v>222</v>
      </c>
      <c r="F19" s="143" t="s">
        <v>223</v>
      </c>
      <c r="G19" s="144"/>
      <c r="H19" s="9">
        <v>6.2</v>
      </c>
      <c r="I19" s="9">
        <v>12.9</v>
      </c>
      <c r="J19" s="145"/>
      <c r="K19" s="145"/>
      <c r="L19" s="9">
        <v>1000</v>
      </c>
      <c r="M19" s="9">
        <v>1040</v>
      </c>
      <c r="N19" s="146" t="s">
        <v>224</v>
      </c>
      <c r="O19" s="148" t="s">
        <v>394</v>
      </c>
      <c r="Q19" s="147"/>
      <c r="R19" s="140"/>
    </row>
    <row r="20" spans="1:24">
      <c r="A20" s="140">
        <f t="shared" si="0"/>
        <v>16</v>
      </c>
      <c r="B20" s="141">
        <f t="shared" si="1"/>
        <v>0.98812639999999996</v>
      </c>
      <c r="C20" s="140">
        <f t="shared" si="2"/>
        <v>16</v>
      </c>
      <c r="D20" s="142">
        <v>16</v>
      </c>
      <c r="E20" s="149" t="s">
        <v>342</v>
      </c>
      <c r="F20" s="149" t="s">
        <v>342</v>
      </c>
      <c r="G20" s="150"/>
      <c r="H20" s="9">
        <v>0</v>
      </c>
      <c r="I20" s="9">
        <v>1000</v>
      </c>
      <c r="J20" s="145"/>
      <c r="K20" s="145"/>
      <c r="L20" s="9">
        <v>0</v>
      </c>
      <c r="M20" s="9">
        <v>2000</v>
      </c>
      <c r="N20" s="149" t="s">
        <v>372</v>
      </c>
      <c r="O20" s="148" t="s">
        <v>400</v>
      </c>
      <c r="Q20" s="147"/>
      <c r="R20" s="140"/>
      <c r="T20" s="140"/>
      <c r="U20" s="145"/>
    </row>
    <row r="21" spans="1:24">
      <c r="D21" s="151"/>
      <c r="E21" s="151"/>
      <c r="F21" s="151"/>
      <c r="G21" s="151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</row>
    <row r="22" spans="1:24">
      <c r="D22" s="128"/>
      <c r="E22" s="129" t="s">
        <v>33</v>
      </c>
      <c r="F22" s="128" t="s">
        <v>373</v>
      </c>
      <c r="H22" s="131" t="s">
        <v>85</v>
      </c>
      <c r="I22" s="132">
        <f>FreeFlap!M5</f>
        <v>4.4775999999999998</v>
      </c>
      <c r="J22" s="132"/>
      <c r="K22" s="132"/>
      <c r="L22" s="131" t="s">
        <v>141</v>
      </c>
      <c r="M22" s="132">
        <f>FreeFlap!I5</f>
        <v>400</v>
      </c>
      <c r="Q22" s="135"/>
      <c r="R22" s="136"/>
    </row>
    <row r="23" spans="1:24">
      <c r="D23" s="137" t="s">
        <v>0</v>
      </c>
      <c r="E23" s="137" t="s">
        <v>370</v>
      </c>
      <c r="F23" s="137" t="s">
        <v>371</v>
      </c>
      <c r="G23" s="137"/>
      <c r="H23" s="138" t="s">
        <v>366</v>
      </c>
      <c r="I23" s="138" t="s">
        <v>367</v>
      </c>
      <c r="J23" s="138"/>
      <c r="K23" s="138"/>
      <c r="L23" s="138" t="s">
        <v>368</v>
      </c>
      <c r="M23" s="138" t="s">
        <v>369</v>
      </c>
      <c r="N23" s="138" t="s">
        <v>88</v>
      </c>
      <c r="O23" s="138" t="s">
        <v>89</v>
      </c>
      <c r="P23" s="138" t="s">
        <v>122</v>
      </c>
      <c r="Q23" s="138" t="s">
        <v>85</v>
      </c>
      <c r="R23" s="138" t="s">
        <v>141</v>
      </c>
    </row>
    <row r="24" spans="1:24">
      <c r="A24" s="140" t="str">
        <f t="shared" ref="A24:A42" si="6">IF(AND(FFP17Высота&gt;=FFL17ВыСот,FFP17Высота&lt;=FFL17ВыСдо,FFP17Вес&gt;=FFL17ВеСот,FFP17Вес&lt;=FFL17ВеСдо),FFL17№,"-")</f>
        <v>-</v>
      </c>
      <c r="B24" s="141" t="str">
        <f t="shared" ref="B24:B42" si="7">IF(A24&lt;&gt;"-",ABS((FFP17Вес-H24)/(I24-H24)*2-1),"-")</f>
        <v>-</v>
      </c>
      <c r="C24" s="140"/>
      <c r="D24" s="142">
        <v>1</v>
      </c>
      <c r="E24" s="143" t="s">
        <v>9</v>
      </c>
      <c r="F24" s="143" t="s">
        <v>10</v>
      </c>
      <c r="G24" s="144"/>
      <c r="H24" s="9">
        <v>1.7</v>
      </c>
      <c r="I24" s="9">
        <v>4.5999999999999996</v>
      </c>
      <c r="L24" s="9">
        <v>200</v>
      </c>
      <c r="M24" s="9">
        <v>200</v>
      </c>
      <c r="N24" s="146" t="s">
        <v>127</v>
      </c>
      <c r="O24" s="153"/>
      <c r="Q24" s="147">
        <f t="shared" ref="Q24:Q40" si="8">FFP17Вес</f>
        <v>4.4775999999999998</v>
      </c>
      <c r="R24" s="140">
        <f t="shared" ref="R24:R40" si="9">FFP17Высота</f>
        <v>400</v>
      </c>
    </row>
    <row r="25" spans="1:24">
      <c r="A25" s="140" t="str">
        <f t="shared" si="6"/>
        <v>-</v>
      </c>
      <c r="B25" s="141" t="str">
        <f t="shared" si="7"/>
        <v>-</v>
      </c>
      <c r="C25" s="140"/>
      <c r="D25" s="142">
        <v>2</v>
      </c>
      <c r="E25" s="143" t="s">
        <v>9</v>
      </c>
      <c r="F25" s="143" t="s">
        <v>10</v>
      </c>
      <c r="G25" s="144"/>
      <c r="H25" s="9">
        <v>1.3</v>
      </c>
      <c r="I25" s="9">
        <v>3.8</v>
      </c>
      <c r="L25" s="9">
        <v>200</v>
      </c>
      <c r="M25" s="9">
        <v>250</v>
      </c>
      <c r="N25" s="146" t="s">
        <v>127</v>
      </c>
      <c r="O25" s="153"/>
      <c r="Q25" s="147">
        <f t="shared" si="8"/>
        <v>4.4775999999999998</v>
      </c>
      <c r="R25" s="140">
        <f t="shared" si="9"/>
        <v>400</v>
      </c>
    </row>
    <row r="26" spans="1:24">
      <c r="A26" s="140" t="str">
        <f t="shared" si="6"/>
        <v>-</v>
      </c>
      <c r="B26" s="141" t="str">
        <f t="shared" si="7"/>
        <v>-</v>
      </c>
      <c r="C26" s="140"/>
      <c r="D26" s="142">
        <v>3</v>
      </c>
      <c r="E26" s="143" t="s">
        <v>9</v>
      </c>
      <c r="F26" s="143" t="s">
        <v>10</v>
      </c>
      <c r="G26" s="144"/>
      <c r="H26" s="9">
        <v>1.1000000000000001</v>
      </c>
      <c r="I26" s="9">
        <v>3.1</v>
      </c>
      <c r="L26" s="9">
        <v>250</v>
      </c>
      <c r="M26" s="9">
        <v>300</v>
      </c>
      <c r="N26" s="146" t="s">
        <v>127</v>
      </c>
      <c r="O26" s="153"/>
      <c r="Q26" s="147">
        <f t="shared" si="8"/>
        <v>4.4775999999999998</v>
      </c>
      <c r="R26" s="140">
        <f t="shared" si="9"/>
        <v>400</v>
      </c>
      <c r="X26" s="140"/>
    </row>
    <row r="27" spans="1:24">
      <c r="A27" s="140" t="str">
        <f t="shared" si="6"/>
        <v>-</v>
      </c>
      <c r="B27" s="141" t="str">
        <f t="shared" si="7"/>
        <v>-</v>
      </c>
      <c r="C27" s="140"/>
      <c r="D27" s="142">
        <v>4</v>
      </c>
      <c r="E27" s="143" t="s">
        <v>9</v>
      </c>
      <c r="F27" s="143" t="s">
        <v>10</v>
      </c>
      <c r="G27" s="144"/>
      <c r="H27" s="9">
        <v>0.9</v>
      </c>
      <c r="I27" s="9">
        <v>2.6</v>
      </c>
      <c r="L27" s="9">
        <v>300</v>
      </c>
      <c r="M27" s="9">
        <v>350</v>
      </c>
      <c r="N27" s="146" t="s">
        <v>127</v>
      </c>
      <c r="O27" s="153"/>
      <c r="Q27" s="147">
        <f t="shared" si="8"/>
        <v>4.4775999999999998</v>
      </c>
      <c r="R27" s="140">
        <f t="shared" si="9"/>
        <v>400</v>
      </c>
      <c r="X27" s="140"/>
    </row>
    <row r="28" spans="1:24">
      <c r="A28" s="140" t="str">
        <f t="shared" si="6"/>
        <v>-</v>
      </c>
      <c r="B28" s="141" t="str">
        <f t="shared" si="7"/>
        <v>-</v>
      </c>
      <c r="C28" s="140"/>
      <c r="D28" s="142">
        <v>5</v>
      </c>
      <c r="E28" s="143" t="s">
        <v>9</v>
      </c>
      <c r="F28" s="143" t="s">
        <v>10</v>
      </c>
      <c r="G28" s="144"/>
      <c r="H28" s="9">
        <v>0.8</v>
      </c>
      <c r="I28" s="9">
        <v>2.1</v>
      </c>
      <c r="L28" s="9">
        <v>350</v>
      </c>
      <c r="M28" s="9">
        <v>400</v>
      </c>
      <c r="N28" s="146" t="s">
        <v>127</v>
      </c>
      <c r="O28" s="153"/>
      <c r="Q28" s="147">
        <f t="shared" si="8"/>
        <v>4.4775999999999998</v>
      </c>
      <c r="R28" s="140">
        <f t="shared" si="9"/>
        <v>400</v>
      </c>
      <c r="X28" s="140"/>
    </row>
    <row r="29" spans="1:24">
      <c r="A29" s="140" t="str">
        <f t="shared" si="6"/>
        <v>-</v>
      </c>
      <c r="B29" s="141" t="str">
        <f t="shared" si="7"/>
        <v>-</v>
      </c>
      <c r="C29" s="140"/>
      <c r="D29" s="142">
        <v>6</v>
      </c>
      <c r="E29" s="143" t="s">
        <v>9</v>
      </c>
      <c r="F29" s="143" t="s">
        <v>10</v>
      </c>
      <c r="G29" s="144"/>
      <c r="H29" s="9">
        <v>0.6</v>
      </c>
      <c r="I29" s="9">
        <v>1.7</v>
      </c>
      <c r="L29" s="9">
        <v>400</v>
      </c>
      <c r="M29" s="9">
        <v>450</v>
      </c>
      <c r="N29" s="146" t="s">
        <v>127</v>
      </c>
      <c r="O29" s="153"/>
      <c r="Q29" s="147">
        <f t="shared" si="8"/>
        <v>4.4775999999999998</v>
      </c>
      <c r="R29" s="140">
        <f t="shared" si="9"/>
        <v>400</v>
      </c>
      <c r="X29" s="140"/>
    </row>
    <row r="30" spans="1:24">
      <c r="A30" s="140" t="str">
        <f t="shared" si="6"/>
        <v>-</v>
      </c>
      <c r="B30" s="141" t="str">
        <f t="shared" si="7"/>
        <v>-</v>
      </c>
      <c r="C30" s="140"/>
      <c r="D30" s="142">
        <v>7</v>
      </c>
      <c r="E30" s="143" t="s">
        <v>123</v>
      </c>
      <c r="F30" s="143" t="s">
        <v>124</v>
      </c>
      <c r="G30" s="144"/>
      <c r="H30" s="9">
        <v>3.6</v>
      </c>
      <c r="I30" s="9">
        <v>7.9</v>
      </c>
      <c r="L30" s="9">
        <v>200</v>
      </c>
      <c r="M30" s="9">
        <v>200</v>
      </c>
      <c r="N30" s="146" t="s">
        <v>128</v>
      </c>
      <c r="O30" s="153"/>
      <c r="Q30" s="147">
        <f t="shared" si="8"/>
        <v>4.4775999999999998</v>
      </c>
      <c r="R30" s="140">
        <f t="shared" si="9"/>
        <v>400</v>
      </c>
      <c r="X30" s="140"/>
    </row>
    <row r="31" spans="1:24">
      <c r="A31" s="140" t="str">
        <f t="shared" si="6"/>
        <v>-</v>
      </c>
      <c r="B31" s="141" t="str">
        <f t="shared" si="7"/>
        <v>-</v>
      </c>
      <c r="C31" s="140"/>
      <c r="D31" s="142">
        <v>8</v>
      </c>
      <c r="E31" s="143" t="s">
        <v>123</v>
      </c>
      <c r="F31" s="143" t="s">
        <v>124</v>
      </c>
      <c r="G31" s="144"/>
      <c r="H31" s="9">
        <v>2.9</v>
      </c>
      <c r="I31" s="9">
        <v>6.4</v>
      </c>
      <c r="L31" s="9">
        <v>200</v>
      </c>
      <c r="M31" s="9">
        <v>250</v>
      </c>
      <c r="N31" s="146" t="s">
        <v>128</v>
      </c>
      <c r="O31" s="153"/>
      <c r="Q31" s="147">
        <f t="shared" si="8"/>
        <v>4.4775999999999998</v>
      </c>
      <c r="R31" s="140">
        <f t="shared" si="9"/>
        <v>400</v>
      </c>
      <c r="X31" s="140"/>
    </row>
    <row r="32" spans="1:24">
      <c r="A32" s="140" t="str">
        <f t="shared" si="6"/>
        <v>-</v>
      </c>
      <c r="B32" s="141" t="str">
        <f t="shared" si="7"/>
        <v>-</v>
      </c>
      <c r="C32" s="140"/>
      <c r="D32" s="142">
        <v>9</v>
      </c>
      <c r="E32" s="143" t="s">
        <v>123</v>
      </c>
      <c r="F32" s="143" t="s">
        <v>124</v>
      </c>
      <c r="G32" s="144"/>
      <c r="H32" s="9">
        <v>2.4</v>
      </c>
      <c r="I32" s="9">
        <v>5.0999999999999996</v>
      </c>
      <c r="L32" s="9">
        <v>250</v>
      </c>
      <c r="M32" s="9">
        <v>300</v>
      </c>
      <c r="N32" s="146" t="s">
        <v>128</v>
      </c>
      <c r="O32" s="153"/>
      <c r="Q32" s="147">
        <f t="shared" si="8"/>
        <v>4.4775999999999998</v>
      </c>
      <c r="R32" s="140">
        <f t="shared" si="9"/>
        <v>400</v>
      </c>
      <c r="X32" s="140"/>
    </row>
    <row r="33" spans="1:24">
      <c r="A33" s="140" t="str">
        <f t="shared" si="6"/>
        <v>-</v>
      </c>
      <c r="B33" s="141" t="str">
        <f t="shared" si="7"/>
        <v>-</v>
      </c>
      <c r="C33" s="140"/>
      <c r="D33" s="142">
        <v>10</v>
      </c>
      <c r="E33" s="143" t="s">
        <v>123</v>
      </c>
      <c r="F33" s="143" t="s">
        <v>124</v>
      </c>
      <c r="G33" s="144"/>
      <c r="H33" s="9">
        <v>2</v>
      </c>
      <c r="I33" s="9">
        <v>4.2</v>
      </c>
      <c r="L33" s="9">
        <v>300</v>
      </c>
      <c r="M33" s="9">
        <v>350</v>
      </c>
      <c r="N33" s="146" t="s">
        <v>128</v>
      </c>
      <c r="O33" s="153"/>
      <c r="Q33" s="147">
        <f t="shared" si="8"/>
        <v>4.4775999999999998</v>
      </c>
      <c r="R33" s="140">
        <f t="shared" si="9"/>
        <v>400</v>
      </c>
      <c r="X33" s="140"/>
    </row>
    <row r="34" spans="1:24">
      <c r="A34" s="140" t="str">
        <f t="shared" si="6"/>
        <v>-</v>
      </c>
      <c r="B34" s="141" t="str">
        <f t="shared" si="7"/>
        <v>-</v>
      </c>
      <c r="C34" s="140"/>
      <c r="D34" s="142">
        <v>11</v>
      </c>
      <c r="E34" s="143" t="s">
        <v>123</v>
      </c>
      <c r="F34" s="143" t="s">
        <v>124</v>
      </c>
      <c r="G34" s="141"/>
      <c r="H34" s="9">
        <v>1.7</v>
      </c>
      <c r="I34" s="9">
        <v>3.6</v>
      </c>
      <c r="L34" s="9">
        <v>350</v>
      </c>
      <c r="M34" s="9">
        <v>400</v>
      </c>
      <c r="N34" s="146" t="s">
        <v>128</v>
      </c>
      <c r="O34" s="153"/>
      <c r="Q34" s="147">
        <f t="shared" si="8"/>
        <v>4.4775999999999998</v>
      </c>
      <c r="R34" s="140">
        <f t="shared" si="9"/>
        <v>400</v>
      </c>
      <c r="X34" s="140"/>
    </row>
    <row r="35" spans="1:24">
      <c r="A35" s="140" t="str">
        <f t="shared" si="6"/>
        <v>-</v>
      </c>
      <c r="B35" s="141" t="str">
        <f t="shared" si="7"/>
        <v>-</v>
      </c>
      <c r="C35" s="140"/>
      <c r="D35" s="142">
        <v>12</v>
      </c>
      <c r="E35" s="143" t="s">
        <v>123</v>
      </c>
      <c r="F35" s="143" t="s">
        <v>124</v>
      </c>
      <c r="G35" s="141"/>
      <c r="H35" s="9">
        <v>1.4</v>
      </c>
      <c r="I35" s="9">
        <v>3.2</v>
      </c>
      <c r="L35" s="9">
        <v>400</v>
      </c>
      <c r="M35" s="9">
        <v>450</v>
      </c>
      <c r="N35" s="146" t="s">
        <v>128</v>
      </c>
      <c r="O35" s="153"/>
      <c r="Q35" s="147">
        <f t="shared" si="8"/>
        <v>4.4775999999999998</v>
      </c>
      <c r="R35" s="140">
        <f t="shared" si="9"/>
        <v>400</v>
      </c>
      <c r="X35" s="140"/>
    </row>
    <row r="36" spans="1:24">
      <c r="A36" s="140" t="str">
        <f t="shared" si="6"/>
        <v>-</v>
      </c>
      <c r="B36" s="141" t="str">
        <f t="shared" si="7"/>
        <v>-</v>
      </c>
      <c r="C36" s="140"/>
      <c r="D36" s="142">
        <v>13</v>
      </c>
      <c r="E36" s="143" t="s">
        <v>125</v>
      </c>
      <c r="F36" s="143" t="s">
        <v>126</v>
      </c>
      <c r="G36" s="141"/>
      <c r="H36" s="9">
        <v>6.8</v>
      </c>
      <c r="I36" s="9">
        <v>14.7</v>
      </c>
      <c r="L36" s="9">
        <v>200</v>
      </c>
      <c r="M36" s="9">
        <v>200</v>
      </c>
      <c r="N36" s="146" t="s">
        <v>129</v>
      </c>
      <c r="O36" s="153"/>
      <c r="Q36" s="147">
        <f t="shared" si="8"/>
        <v>4.4775999999999998</v>
      </c>
      <c r="R36" s="140">
        <f t="shared" si="9"/>
        <v>400</v>
      </c>
      <c r="X36" s="140"/>
    </row>
    <row r="37" spans="1:24">
      <c r="A37" s="140" t="str">
        <f t="shared" si="6"/>
        <v>-</v>
      </c>
      <c r="B37" s="141" t="str">
        <f t="shared" si="7"/>
        <v>-</v>
      </c>
      <c r="C37" s="140"/>
      <c r="D37" s="142">
        <v>14</v>
      </c>
      <c r="E37" s="143" t="s">
        <v>125</v>
      </c>
      <c r="F37" s="143" t="s">
        <v>126</v>
      </c>
      <c r="G37" s="141"/>
      <c r="H37" s="9">
        <v>5.4</v>
      </c>
      <c r="I37" s="9">
        <v>11.8</v>
      </c>
      <c r="L37" s="9">
        <v>200</v>
      </c>
      <c r="M37" s="9">
        <v>250</v>
      </c>
      <c r="N37" s="146" t="s">
        <v>129</v>
      </c>
      <c r="O37" s="153"/>
      <c r="Q37" s="147">
        <f t="shared" si="8"/>
        <v>4.4775999999999998</v>
      </c>
      <c r="R37" s="140">
        <f t="shared" si="9"/>
        <v>400</v>
      </c>
      <c r="X37" s="140"/>
    </row>
    <row r="38" spans="1:24">
      <c r="A38" s="140" t="str">
        <f t="shared" si="6"/>
        <v>-</v>
      </c>
      <c r="B38" s="141" t="str">
        <f t="shared" si="7"/>
        <v>-</v>
      </c>
      <c r="C38" s="140"/>
      <c r="D38" s="142">
        <v>15</v>
      </c>
      <c r="E38" s="143" t="s">
        <v>125</v>
      </c>
      <c r="F38" s="143" t="s">
        <v>126</v>
      </c>
      <c r="G38" s="141"/>
      <c r="H38" s="9">
        <v>4.4000000000000004</v>
      </c>
      <c r="I38" s="9">
        <v>9.6</v>
      </c>
      <c r="L38" s="9">
        <v>250</v>
      </c>
      <c r="M38" s="9">
        <v>300</v>
      </c>
      <c r="N38" s="146" t="s">
        <v>129</v>
      </c>
      <c r="O38" s="153"/>
      <c r="Q38" s="147">
        <f t="shared" si="8"/>
        <v>4.4775999999999998</v>
      </c>
      <c r="R38" s="140">
        <f t="shared" si="9"/>
        <v>400</v>
      </c>
      <c r="X38" s="140"/>
    </row>
    <row r="39" spans="1:24">
      <c r="A39" s="140" t="str">
        <f t="shared" si="6"/>
        <v>-</v>
      </c>
      <c r="B39" s="141" t="str">
        <f t="shared" si="7"/>
        <v>-</v>
      </c>
      <c r="C39" s="140"/>
      <c r="D39" s="142">
        <v>16</v>
      </c>
      <c r="E39" s="143" t="s">
        <v>125</v>
      </c>
      <c r="F39" s="143" t="s">
        <v>126</v>
      </c>
      <c r="G39" s="141"/>
      <c r="H39" s="9">
        <v>3.7</v>
      </c>
      <c r="I39" s="9">
        <v>8.1</v>
      </c>
      <c r="L39" s="9">
        <v>300</v>
      </c>
      <c r="M39" s="9">
        <v>350</v>
      </c>
      <c r="N39" s="146" t="s">
        <v>129</v>
      </c>
      <c r="O39" s="153"/>
      <c r="Q39" s="147">
        <f t="shared" si="8"/>
        <v>4.4775999999999998</v>
      </c>
      <c r="R39" s="140">
        <f t="shared" si="9"/>
        <v>400</v>
      </c>
      <c r="X39" s="140"/>
    </row>
    <row r="40" spans="1:24">
      <c r="A40" s="140">
        <f t="shared" si="6"/>
        <v>17</v>
      </c>
      <c r="B40" s="141">
        <f t="shared" si="7"/>
        <v>0.32757894736842119</v>
      </c>
      <c r="C40" s="140"/>
      <c r="D40" s="142">
        <v>17</v>
      </c>
      <c r="E40" s="143" t="s">
        <v>125</v>
      </c>
      <c r="F40" s="143" t="s">
        <v>126</v>
      </c>
      <c r="G40" s="141"/>
      <c r="H40" s="9">
        <v>3.2</v>
      </c>
      <c r="I40" s="9">
        <v>7</v>
      </c>
      <c r="L40" s="9">
        <v>350</v>
      </c>
      <c r="M40" s="9">
        <v>400</v>
      </c>
      <c r="N40" s="146" t="s">
        <v>129</v>
      </c>
      <c r="O40" s="153"/>
      <c r="Q40" s="147">
        <f t="shared" si="8"/>
        <v>4.4775999999999998</v>
      </c>
      <c r="R40" s="140">
        <f t="shared" si="9"/>
        <v>400</v>
      </c>
      <c r="X40" s="140"/>
    </row>
    <row r="41" spans="1:24">
      <c r="A41" s="140">
        <f t="shared" si="6"/>
        <v>18</v>
      </c>
      <c r="B41" s="141">
        <f t="shared" si="7"/>
        <v>4.5647058823529374E-2</v>
      </c>
      <c r="C41" s="140"/>
      <c r="D41" s="142">
        <v>18</v>
      </c>
      <c r="E41" s="143" t="s">
        <v>125</v>
      </c>
      <c r="F41" s="143" t="s">
        <v>126</v>
      </c>
      <c r="G41" s="144"/>
      <c r="H41" s="9">
        <v>2.7</v>
      </c>
      <c r="I41" s="9">
        <v>6.1</v>
      </c>
      <c r="L41" s="9">
        <v>400</v>
      </c>
      <c r="M41" s="9">
        <v>450</v>
      </c>
      <c r="N41" s="146" t="s">
        <v>129</v>
      </c>
      <c r="O41" s="153"/>
      <c r="Q41" s="147">
        <v>5.5583200000000001</v>
      </c>
      <c r="R41" s="140">
        <v>420</v>
      </c>
      <c r="X41" s="140"/>
    </row>
    <row r="42" spans="1:24">
      <c r="A42" s="140">
        <f t="shared" si="6"/>
        <v>19</v>
      </c>
      <c r="B42" s="141">
        <f t="shared" si="7"/>
        <v>0.99820896000000003</v>
      </c>
      <c r="C42" s="140"/>
      <c r="D42" s="142">
        <v>19</v>
      </c>
      <c r="E42" s="149" t="s">
        <v>342</v>
      </c>
      <c r="F42" s="149" t="s">
        <v>342</v>
      </c>
      <c r="G42" s="150"/>
      <c r="H42" s="9">
        <v>0</v>
      </c>
      <c r="I42" s="9">
        <v>5000</v>
      </c>
      <c r="L42" s="9">
        <v>0</v>
      </c>
      <c r="M42" s="9">
        <v>2000</v>
      </c>
      <c r="N42" s="146" t="s">
        <v>374</v>
      </c>
      <c r="O42" s="153"/>
      <c r="Q42" s="147">
        <v>5.5583200000000001</v>
      </c>
      <c r="R42" s="140">
        <v>420</v>
      </c>
      <c r="X42" s="140"/>
    </row>
    <row r="43" spans="1:24">
      <c r="A43" s="140"/>
      <c r="B43" s="140"/>
      <c r="C43" s="140"/>
      <c r="D43" s="154"/>
      <c r="E43" s="149"/>
      <c r="F43" s="149"/>
      <c r="G43" s="150"/>
      <c r="H43" s="155"/>
      <c r="I43" s="155"/>
      <c r="J43" s="155"/>
      <c r="K43" s="155"/>
      <c r="L43" s="156"/>
      <c r="M43" s="156"/>
      <c r="N43" s="146"/>
      <c r="O43" s="153"/>
      <c r="R43" s="140"/>
      <c r="X43" s="140"/>
    </row>
    <row r="44" spans="1:24">
      <c r="D44" s="128"/>
      <c r="E44" s="129" t="s">
        <v>32</v>
      </c>
      <c r="F44" s="128" t="s">
        <v>375</v>
      </c>
      <c r="H44" s="131" t="s">
        <v>85</v>
      </c>
      <c r="I44" s="132">
        <f>FreeFlap!M34</f>
        <v>8.5473999999999997</v>
      </c>
      <c r="J44" s="132"/>
      <c r="K44" s="132"/>
      <c r="L44" s="131" t="s">
        <v>141</v>
      </c>
      <c r="M44" s="132">
        <f>FreeFlap!I34</f>
        <v>650</v>
      </c>
      <c r="Q44" s="135"/>
      <c r="R44" s="136"/>
    </row>
    <row r="45" spans="1:24">
      <c r="D45" s="137" t="s">
        <v>0</v>
      </c>
      <c r="E45" s="137" t="s">
        <v>370</v>
      </c>
      <c r="F45" s="137" t="s">
        <v>371</v>
      </c>
      <c r="G45" s="137"/>
      <c r="H45" s="138" t="s">
        <v>366</v>
      </c>
      <c r="I45" s="138" t="s">
        <v>367</v>
      </c>
      <c r="J45" s="138"/>
      <c r="K45" s="138"/>
      <c r="L45" s="138" t="s">
        <v>368</v>
      </c>
      <c r="M45" s="138" t="s">
        <v>369</v>
      </c>
      <c r="N45" s="138" t="s">
        <v>88</v>
      </c>
      <c r="O45" s="138" t="s">
        <v>89</v>
      </c>
      <c r="P45" s="138" t="s">
        <v>122</v>
      </c>
      <c r="Q45" s="138" t="s">
        <v>85</v>
      </c>
      <c r="R45" s="138" t="s">
        <v>141</v>
      </c>
    </row>
    <row r="46" spans="1:24">
      <c r="A46" s="140" t="str">
        <f t="shared" ref="A46:A74" si="10">IF(AND(FFP315Высота&gt;FFL315ВыСот,FFP315Высота&lt;=FFL315ВыСдо,FFP315Вес&gt;=FFL315ВеСот,FFP315Вес&lt;=FFL315ВеСдо),FFL315№,"-")</f>
        <v>-</v>
      </c>
      <c r="B46" s="141" t="str">
        <f t="shared" ref="B46:B74" si="11">IF(A46&lt;&gt;"-",ABS((FFP315Вес-H46)/(I46-H46)*2-1),"-")</f>
        <v>-</v>
      </c>
      <c r="C46" s="140"/>
      <c r="D46" s="142">
        <v>1</v>
      </c>
      <c r="E46" s="143" t="s">
        <v>13</v>
      </c>
      <c r="F46" s="143" t="s">
        <v>14</v>
      </c>
      <c r="G46" s="144"/>
      <c r="H46" s="9">
        <v>5.2</v>
      </c>
      <c r="I46" s="9">
        <v>11</v>
      </c>
      <c r="L46" s="9">
        <v>340</v>
      </c>
      <c r="M46" s="9">
        <v>350</v>
      </c>
      <c r="N46" s="146" t="s">
        <v>131</v>
      </c>
      <c r="O46" s="153"/>
      <c r="Q46" s="147">
        <f t="shared" ref="Q46:Q74" si="12">FFP315Вес</f>
        <v>8.5473999999999997</v>
      </c>
      <c r="R46" s="140">
        <f t="shared" ref="R46:R74" si="13">FFP315Высота</f>
        <v>650</v>
      </c>
    </row>
    <row r="47" spans="1:24">
      <c r="A47" s="140" t="str">
        <f t="shared" si="10"/>
        <v>-</v>
      </c>
      <c r="B47" s="141" t="str">
        <f t="shared" si="11"/>
        <v>-</v>
      </c>
      <c r="C47" s="140"/>
      <c r="D47" s="142">
        <v>2</v>
      </c>
      <c r="E47" s="143" t="s">
        <v>13</v>
      </c>
      <c r="F47" s="143" t="s">
        <v>14</v>
      </c>
      <c r="G47" s="144"/>
      <c r="H47" s="9">
        <v>4.7</v>
      </c>
      <c r="I47" s="9">
        <v>9.6</v>
      </c>
      <c r="L47" s="9">
        <v>350</v>
      </c>
      <c r="M47" s="9">
        <v>400</v>
      </c>
      <c r="N47" s="146" t="s">
        <v>131</v>
      </c>
      <c r="O47" s="153"/>
      <c r="Q47" s="147">
        <f t="shared" si="12"/>
        <v>8.5473999999999997</v>
      </c>
      <c r="R47" s="140">
        <f t="shared" si="13"/>
        <v>650</v>
      </c>
    </row>
    <row r="48" spans="1:24">
      <c r="A48" s="140" t="str">
        <f t="shared" si="10"/>
        <v>-</v>
      </c>
      <c r="B48" s="141" t="str">
        <f t="shared" si="11"/>
        <v>-</v>
      </c>
      <c r="C48" s="140"/>
      <c r="D48" s="142">
        <v>3</v>
      </c>
      <c r="E48" s="143" t="s">
        <v>13</v>
      </c>
      <c r="F48" s="143" t="s">
        <v>14</v>
      </c>
      <c r="G48" s="144"/>
      <c r="H48" s="9">
        <v>4.0999999999999996</v>
      </c>
      <c r="I48" s="9">
        <v>8.4</v>
      </c>
      <c r="L48" s="9">
        <v>400</v>
      </c>
      <c r="M48" s="9">
        <v>450</v>
      </c>
      <c r="N48" s="146" t="s">
        <v>131</v>
      </c>
      <c r="O48" s="153"/>
      <c r="Q48" s="147">
        <f t="shared" si="12"/>
        <v>8.5473999999999997</v>
      </c>
      <c r="R48" s="140">
        <f t="shared" si="13"/>
        <v>650</v>
      </c>
      <c r="X48" s="140"/>
    </row>
    <row r="49" spans="1:24">
      <c r="A49" s="140" t="str">
        <f t="shared" si="10"/>
        <v>-</v>
      </c>
      <c r="B49" s="141" t="str">
        <f t="shared" si="11"/>
        <v>-</v>
      </c>
      <c r="C49" s="140"/>
      <c r="D49" s="142">
        <v>4</v>
      </c>
      <c r="E49" s="143" t="s">
        <v>13</v>
      </c>
      <c r="F49" s="143" t="s">
        <v>14</v>
      </c>
      <c r="G49" s="144"/>
      <c r="H49" s="9">
        <v>3.7</v>
      </c>
      <c r="I49" s="9">
        <v>7.5</v>
      </c>
      <c r="L49" s="9">
        <v>450</v>
      </c>
      <c r="M49" s="9">
        <v>500</v>
      </c>
      <c r="N49" s="146" t="s">
        <v>131</v>
      </c>
      <c r="O49" s="153"/>
      <c r="Q49" s="147">
        <f t="shared" si="12"/>
        <v>8.5473999999999997</v>
      </c>
      <c r="R49" s="140">
        <f t="shared" si="13"/>
        <v>650</v>
      </c>
      <c r="X49" s="140"/>
    </row>
    <row r="50" spans="1:24">
      <c r="A50" s="140" t="str">
        <f t="shared" si="10"/>
        <v>-</v>
      </c>
      <c r="B50" s="141" t="str">
        <f t="shared" si="11"/>
        <v>-</v>
      </c>
      <c r="C50" s="140"/>
      <c r="D50" s="142">
        <v>5</v>
      </c>
      <c r="E50" s="143" t="s">
        <v>13</v>
      </c>
      <c r="F50" s="143" t="s">
        <v>14</v>
      </c>
      <c r="G50" s="144"/>
      <c r="H50" s="9">
        <v>3.3</v>
      </c>
      <c r="I50" s="9">
        <v>6.8</v>
      </c>
      <c r="L50" s="9">
        <v>500</v>
      </c>
      <c r="M50" s="9">
        <v>550</v>
      </c>
      <c r="N50" s="146" t="s">
        <v>131</v>
      </c>
      <c r="O50" s="153"/>
      <c r="Q50" s="147">
        <f t="shared" si="12"/>
        <v>8.5473999999999997</v>
      </c>
      <c r="R50" s="140">
        <f t="shared" si="13"/>
        <v>650</v>
      </c>
      <c r="X50" s="140"/>
    </row>
    <row r="51" spans="1:24" s="8" customFormat="1">
      <c r="A51" s="157" t="str">
        <f t="shared" si="10"/>
        <v>-</v>
      </c>
      <c r="B51" s="141" t="str">
        <f t="shared" si="11"/>
        <v>-</v>
      </c>
      <c r="C51" s="157"/>
      <c r="D51" s="158">
        <v>6</v>
      </c>
      <c r="E51" s="159" t="s">
        <v>13</v>
      </c>
      <c r="F51" s="159" t="s">
        <v>14</v>
      </c>
      <c r="G51" s="160"/>
      <c r="H51" s="8">
        <v>3</v>
      </c>
      <c r="I51" s="8">
        <v>6.2</v>
      </c>
      <c r="L51" s="8">
        <v>550</v>
      </c>
      <c r="M51" s="8">
        <v>600</v>
      </c>
      <c r="N51" s="148" t="s">
        <v>131</v>
      </c>
      <c r="O51" s="161"/>
      <c r="Q51" s="162">
        <f t="shared" si="12"/>
        <v>8.5473999999999997</v>
      </c>
      <c r="R51" s="157">
        <f t="shared" si="13"/>
        <v>650</v>
      </c>
      <c r="X51" s="157"/>
    </row>
    <row r="52" spans="1:24" s="8" customFormat="1">
      <c r="A52" s="157" t="str">
        <f t="shared" si="10"/>
        <v>-</v>
      </c>
      <c r="B52" s="141" t="str">
        <f t="shared" si="11"/>
        <v>-</v>
      </c>
      <c r="C52" s="157"/>
      <c r="D52" s="158">
        <v>7</v>
      </c>
      <c r="E52" s="159" t="s">
        <v>13</v>
      </c>
      <c r="F52" s="159" t="s">
        <v>14</v>
      </c>
      <c r="G52" s="160"/>
      <c r="H52" s="8">
        <v>2.6</v>
      </c>
      <c r="I52" s="8">
        <v>5.6</v>
      </c>
      <c r="L52" s="8">
        <v>600</v>
      </c>
      <c r="M52" s="8">
        <v>650</v>
      </c>
      <c r="N52" s="148" t="s">
        <v>131</v>
      </c>
      <c r="O52" s="161"/>
      <c r="Q52" s="162">
        <f t="shared" si="12"/>
        <v>8.5473999999999997</v>
      </c>
      <c r="R52" s="157">
        <f t="shared" si="13"/>
        <v>650</v>
      </c>
      <c r="X52" s="157"/>
    </row>
    <row r="53" spans="1:24" s="8" customFormat="1">
      <c r="A53" s="157" t="str">
        <f t="shared" si="10"/>
        <v>-</v>
      </c>
      <c r="B53" s="141" t="str">
        <f t="shared" si="11"/>
        <v>-</v>
      </c>
      <c r="C53" s="157"/>
      <c r="D53" s="158">
        <v>8</v>
      </c>
      <c r="E53" s="159" t="s">
        <v>132</v>
      </c>
      <c r="F53" s="159" t="s">
        <v>133</v>
      </c>
      <c r="G53" s="160"/>
      <c r="H53" s="8">
        <v>6.7</v>
      </c>
      <c r="I53" s="8">
        <v>14.3</v>
      </c>
      <c r="L53" s="8">
        <v>340</v>
      </c>
      <c r="M53" s="8">
        <v>350</v>
      </c>
      <c r="N53" s="148" t="s">
        <v>134</v>
      </c>
      <c r="O53" s="161"/>
      <c r="Q53" s="162">
        <f t="shared" si="12"/>
        <v>8.5473999999999997</v>
      </c>
      <c r="R53" s="157">
        <f t="shared" si="13"/>
        <v>650</v>
      </c>
      <c r="X53" s="157"/>
    </row>
    <row r="54" spans="1:24" s="8" customFormat="1">
      <c r="A54" s="157" t="str">
        <f t="shared" si="10"/>
        <v>-</v>
      </c>
      <c r="B54" s="141" t="str">
        <f t="shared" si="11"/>
        <v>-</v>
      </c>
      <c r="C54" s="157"/>
      <c r="D54" s="158">
        <v>9</v>
      </c>
      <c r="E54" s="159" t="s">
        <v>132</v>
      </c>
      <c r="F54" s="159" t="s">
        <v>133</v>
      </c>
      <c r="G54" s="160"/>
      <c r="H54" s="8">
        <v>5.9</v>
      </c>
      <c r="I54" s="8">
        <v>12.4</v>
      </c>
      <c r="L54" s="8">
        <v>350</v>
      </c>
      <c r="M54" s="8">
        <v>400</v>
      </c>
      <c r="N54" s="148" t="s">
        <v>134</v>
      </c>
      <c r="O54" s="161"/>
      <c r="Q54" s="162">
        <f t="shared" si="12"/>
        <v>8.5473999999999997</v>
      </c>
      <c r="R54" s="157">
        <f t="shared" si="13"/>
        <v>650</v>
      </c>
      <c r="X54" s="157"/>
    </row>
    <row r="55" spans="1:24" s="8" customFormat="1">
      <c r="A55" s="157" t="str">
        <f t="shared" si="10"/>
        <v>-</v>
      </c>
      <c r="B55" s="141" t="str">
        <f t="shared" si="11"/>
        <v>-</v>
      </c>
      <c r="C55" s="157"/>
      <c r="D55" s="158">
        <v>10</v>
      </c>
      <c r="E55" s="159" t="s">
        <v>132</v>
      </c>
      <c r="F55" s="159" t="s">
        <v>133</v>
      </c>
      <c r="G55" s="160"/>
      <c r="H55" s="8">
        <v>5.2</v>
      </c>
      <c r="I55" s="8">
        <v>10.9</v>
      </c>
      <c r="L55" s="8">
        <v>400</v>
      </c>
      <c r="M55" s="8">
        <v>450</v>
      </c>
      <c r="N55" s="148" t="s">
        <v>134</v>
      </c>
      <c r="O55" s="161"/>
      <c r="Q55" s="162">
        <f t="shared" si="12"/>
        <v>8.5473999999999997</v>
      </c>
      <c r="R55" s="157">
        <f t="shared" si="13"/>
        <v>650</v>
      </c>
      <c r="X55" s="157"/>
    </row>
    <row r="56" spans="1:24" s="8" customFormat="1">
      <c r="A56" s="157" t="str">
        <f t="shared" si="10"/>
        <v>-</v>
      </c>
      <c r="B56" s="141" t="str">
        <f t="shared" si="11"/>
        <v>-</v>
      </c>
      <c r="C56" s="157"/>
      <c r="D56" s="158">
        <v>11</v>
      </c>
      <c r="E56" s="159" t="s">
        <v>132</v>
      </c>
      <c r="F56" s="159" t="s">
        <v>133</v>
      </c>
      <c r="G56" s="160"/>
      <c r="H56" s="8">
        <v>4.7</v>
      </c>
      <c r="I56" s="8">
        <v>9.6999999999999993</v>
      </c>
      <c r="L56" s="8">
        <v>450</v>
      </c>
      <c r="M56" s="8">
        <v>500</v>
      </c>
      <c r="N56" s="148" t="s">
        <v>134</v>
      </c>
      <c r="O56" s="161"/>
      <c r="Q56" s="162">
        <f t="shared" si="12"/>
        <v>8.5473999999999997</v>
      </c>
      <c r="R56" s="157">
        <f t="shared" si="13"/>
        <v>650</v>
      </c>
      <c r="X56" s="157"/>
    </row>
    <row r="57" spans="1:24" s="8" customFormat="1">
      <c r="A57" s="157" t="str">
        <f t="shared" si="10"/>
        <v>-</v>
      </c>
      <c r="B57" s="141" t="str">
        <f t="shared" si="11"/>
        <v>-</v>
      </c>
      <c r="C57" s="157"/>
      <c r="D57" s="158">
        <v>12</v>
      </c>
      <c r="E57" s="159" t="s">
        <v>132</v>
      </c>
      <c r="F57" s="159" t="s">
        <v>133</v>
      </c>
      <c r="G57" s="160"/>
      <c r="H57" s="8">
        <v>4.2</v>
      </c>
      <c r="I57" s="8">
        <v>8.8000000000000007</v>
      </c>
      <c r="L57" s="8">
        <v>500</v>
      </c>
      <c r="M57" s="8">
        <v>550</v>
      </c>
      <c r="N57" s="148" t="s">
        <v>134</v>
      </c>
      <c r="O57" s="161"/>
      <c r="Q57" s="162">
        <f t="shared" si="12"/>
        <v>8.5473999999999997</v>
      </c>
      <c r="R57" s="157">
        <f t="shared" si="13"/>
        <v>650</v>
      </c>
      <c r="X57" s="157"/>
    </row>
    <row r="58" spans="1:24" s="8" customFormat="1">
      <c r="A58" s="157" t="str">
        <f t="shared" si="10"/>
        <v>-</v>
      </c>
      <c r="B58" s="141" t="str">
        <f t="shared" si="11"/>
        <v>-</v>
      </c>
      <c r="C58" s="157"/>
      <c r="D58" s="158">
        <v>13</v>
      </c>
      <c r="E58" s="159" t="s">
        <v>132</v>
      </c>
      <c r="F58" s="159" t="s">
        <v>133</v>
      </c>
      <c r="G58" s="160"/>
      <c r="H58" s="8">
        <v>3.8</v>
      </c>
      <c r="I58" s="8">
        <v>8</v>
      </c>
      <c r="L58" s="8">
        <v>550</v>
      </c>
      <c r="M58" s="8">
        <v>600</v>
      </c>
      <c r="N58" s="148" t="s">
        <v>134</v>
      </c>
      <c r="O58" s="161"/>
      <c r="Q58" s="162">
        <f t="shared" si="12"/>
        <v>8.5473999999999997</v>
      </c>
      <c r="R58" s="157">
        <f t="shared" si="13"/>
        <v>650</v>
      </c>
      <c r="X58" s="157"/>
    </row>
    <row r="59" spans="1:24" s="8" customFormat="1">
      <c r="A59" s="157" t="str">
        <f t="shared" si="10"/>
        <v>-</v>
      </c>
      <c r="B59" s="141" t="str">
        <f t="shared" si="11"/>
        <v>-</v>
      </c>
      <c r="C59" s="157"/>
      <c r="D59" s="158">
        <v>14</v>
      </c>
      <c r="E59" s="159" t="s">
        <v>132</v>
      </c>
      <c r="F59" s="159" t="s">
        <v>133</v>
      </c>
      <c r="G59" s="160"/>
      <c r="H59" s="8">
        <v>3.4</v>
      </c>
      <c r="I59" s="8">
        <v>7.3</v>
      </c>
      <c r="L59" s="8">
        <v>600</v>
      </c>
      <c r="M59" s="8">
        <v>650</v>
      </c>
      <c r="N59" s="148" t="s">
        <v>134</v>
      </c>
      <c r="O59" s="161"/>
      <c r="Q59" s="162">
        <f t="shared" si="12"/>
        <v>8.5473999999999997</v>
      </c>
      <c r="R59" s="157">
        <f t="shared" si="13"/>
        <v>650</v>
      </c>
      <c r="X59" s="157"/>
    </row>
    <row r="60" spans="1:24">
      <c r="A60" s="140" t="str">
        <f t="shared" si="10"/>
        <v>-</v>
      </c>
      <c r="B60" s="141" t="str">
        <f t="shared" si="11"/>
        <v>-</v>
      </c>
      <c r="C60" s="140"/>
      <c r="D60" s="142">
        <v>15</v>
      </c>
      <c r="E60" s="143" t="s">
        <v>135</v>
      </c>
      <c r="F60" s="143" t="s">
        <v>136</v>
      </c>
      <c r="G60" s="144"/>
      <c r="H60" s="9">
        <v>10.1</v>
      </c>
      <c r="I60" s="9">
        <v>21.4</v>
      </c>
      <c r="L60" s="9">
        <v>340</v>
      </c>
      <c r="M60" s="9">
        <v>350</v>
      </c>
      <c r="N60" s="146" t="s">
        <v>137</v>
      </c>
      <c r="O60" s="153"/>
      <c r="Q60" s="147">
        <f t="shared" si="12"/>
        <v>8.5473999999999997</v>
      </c>
      <c r="R60" s="140">
        <f t="shared" si="13"/>
        <v>650</v>
      </c>
      <c r="X60" s="140"/>
    </row>
    <row r="61" spans="1:24">
      <c r="A61" s="140" t="str">
        <f t="shared" si="10"/>
        <v>-</v>
      </c>
      <c r="B61" s="141" t="str">
        <f t="shared" si="11"/>
        <v>-</v>
      </c>
      <c r="C61" s="140"/>
      <c r="D61" s="142">
        <v>16</v>
      </c>
      <c r="E61" s="143" t="s">
        <v>135</v>
      </c>
      <c r="F61" s="143" t="s">
        <v>136</v>
      </c>
      <c r="G61" s="144"/>
      <c r="H61" s="9">
        <v>8.9</v>
      </c>
      <c r="I61" s="9">
        <v>18.600000000000001</v>
      </c>
      <c r="L61" s="9">
        <v>350</v>
      </c>
      <c r="M61" s="9">
        <v>400</v>
      </c>
      <c r="N61" s="146" t="s">
        <v>137</v>
      </c>
      <c r="O61" s="153"/>
      <c r="Q61" s="147">
        <f t="shared" si="12"/>
        <v>8.5473999999999997</v>
      </c>
      <c r="R61" s="140">
        <f t="shared" si="13"/>
        <v>650</v>
      </c>
      <c r="X61" s="140"/>
    </row>
    <row r="62" spans="1:24">
      <c r="A62" s="140" t="str">
        <f t="shared" si="10"/>
        <v>-</v>
      </c>
      <c r="B62" s="141" t="str">
        <f t="shared" si="11"/>
        <v>-</v>
      </c>
      <c r="C62" s="140"/>
      <c r="D62" s="142">
        <v>17</v>
      </c>
      <c r="E62" s="143" t="s">
        <v>135</v>
      </c>
      <c r="F62" s="143" t="s">
        <v>136</v>
      </c>
      <c r="G62" s="144"/>
      <c r="H62" s="9">
        <v>7.8</v>
      </c>
      <c r="I62" s="9">
        <v>16.3</v>
      </c>
      <c r="L62" s="9">
        <v>400</v>
      </c>
      <c r="M62" s="9">
        <v>450</v>
      </c>
      <c r="N62" s="146" t="s">
        <v>137</v>
      </c>
      <c r="O62" s="153"/>
      <c r="Q62" s="147">
        <f t="shared" si="12"/>
        <v>8.5473999999999997</v>
      </c>
      <c r="R62" s="140">
        <f t="shared" si="13"/>
        <v>650</v>
      </c>
      <c r="X62" s="140"/>
    </row>
    <row r="63" spans="1:24">
      <c r="A63" s="140" t="str">
        <f t="shared" si="10"/>
        <v>-</v>
      </c>
      <c r="B63" s="141" t="str">
        <f t="shared" si="11"/>
        <v>-</v>
      </c>
      <c r="C63" s="140"/>
      <c r="D63" s="142">
        <v>18</v>
      </c>
      <c r="E63" s="143" t="s">
        <v>135</v>
      </c>
      <c r="F63" s="143" t="s">
        <v>136</v>
      </c>
      <c r="G63" s="144"/>
      <c r="H63" s="9">
        <v>7</v>
      </c>
      <c r="I63" s="9">
        <v>14.6</v>
      </c>
      <c r="L63" s="9">
        <v>450</v>
      </c>
      <c r="M63" s="9">
        <v>500</v>
      </c>
      <c r="N63" s="146" t="s">
        <v>137</v>
      </c>
      <c r="O63" s="153"/>
      <c r="Q63" s="147">
        <f t="shared" si="12"/>
        <v>8.5473999999999997</v>
      </c>
      <c r="R63" s="140">
        <f t="shared" si="13"/>
        <v>650</v>
      </c>
      <c r="X63" s="140"/>
    </row>
    <row r="64" spans="1:24">
      <c r="A64" s="140" t="str">
        <f t="shared" si="10"/>
        <v>-</v>
      </c>
      <c r="B64" s="141" t="str">
        <f t="shared" si="11"/>
        <v>-</v>
      </c>
      <c r="C64" s="140"/>
      <c r="D64" s="142">
        <v>19</v>
      </c>
      <c r="E64" s="143" t="s">
        <v>135</v>
      </c>
      <c r="F64" s="143" t="s">
        <v>136</v>
      </c>
      <c r="G64" s="144"/>
      <c r="H64" s="9">
        <v>6.3</v>
      </c>
      <c r="I64" s="9">
        <v>13.2</v>
      </c>
      <c r="L64" s="9">
        <v>500</v>
      </c>
      <c r="M64" s="9">
        <v>550</v>
      </c>
      <c r="N64" s="146" t="s">
        <v>137</v>
      </c>
      <c r="O64" s="153"/>
      <c r="Q64" s="147">
        <f t="shared" si="12"/>
        <v>8.5473999999999997</v>
      </c>
      <c r="R64" s="140">
        <f t="shared" si="13"/>
        <v>650</v>
      </c>
      <c r="X64" s="140"/>
    </row>
    <row r="65" spans="1:24">
      <c r="A65" s="140" t="str">
        <f t="shared" si="10"/>
        <v>-</v>
      </c>
      <c r="B65" s="141" t="str">
        <f t="shared" si="11"/>
        <v>-</v>
      </c>
      <c r="C65" s="140"/>
      <c r="D65" s="142">
        <v>20</v>
      </c>
      <c r="E65" s="143" t="s">
        <v>135</v>
      </c>
      <c r="F65" s="143" t="s">
        <v>136</v>
      </c>
      <c r="G65" s="144"/>
      <c r="H65" s="9">
        <v>5.7</v>
      </c>
      <c r="I65" s="9">
        <v>12</v>
      </c>
      <c r="L65" s="9">
        <v>550</v>
      </c>
      <c r="M65" s="9">
        <v>600</v>
      </c>
      <c r="N65" s="146" t="s">
        <v>137</v>
      </c>
      <c r="O65" s="153"/>
      <c r="Q65" s="147">
        <f t="shared" si="12"/>
        <v>8.5473999999999997</v>
      </c>
      <c r="R65" s="140">
        <f t="shared" si="13"/>
        <v>650</v>
      </c>
      <c r="X65" s="140"/>
    </row>
    <row r="66" spans="1:24">
      <c r="A66" s="140">
        <f t="shared" si="10"/>
        <v>21</v>
      </c>
      <c r="B66" s="141">
        <f t="shared" si="11"/>
        <v>0.13943859649122792</v>
      </c>
      <c r="C66" s="140"/>
      <c r="D66" s="142">
        <v>21</v>
      </c>
      <c r="E66" s="143" t="s">
        <v>135</v>
      </c>
      <c r="F66" s="143" t="s">
        <v>136</v>
      </c>
      <c r="G66" s="144"/>
      <c r="H66" s="9">
        <v>5.3</v>
      </c>
      <c r="I66" s="9">
        <v>11</v>
      </c>
      <c r="L66" s="9">
        <v>600</v>
      </c>
      <c r="M66" s="9">
        <v>650</v>
      </c>
      <c r="N66" s="146" t="s">
        <v>137</v>
      </c>
      <c r="O66" s="153"/>
      <c r="Q66" s="147">
        <f t="shared" si="12"/>
        <v>8.5473999999999997</v>
      </c>
      <c r="R66" s="140">
        <f t="shared" si="13"/>
        <v>650</v>
      </c>
      <c r="X66" s="140"/>
    </row>
    <row r="67" spans="1:24">
      <c r="A67" s="140" t="str">
        <f t="shared" si="10"/>
        <v>-</v>
      </c>
      <c r="B67" s="141" t="str">
        <f t="shared" si="11"/>
        <v>-</v>
      </c>
      <c r="C67" s="140"/>
      <c r="D67" s="142">
        <v>22</v>
      </c>
      <c r="E67" s="143" t="s">
        <v>138</v>
      </c>
      <c r="F67" s="143" t="s">
        <v>139</v>
      </c>
      <c r="G67" s="144"/>
      <c r="H67" s="9">
        <v>13.5</v>
      </c>
      <c r="I67" s="9">
        <v>27.3</v>
      </c>
      <c r="L67" s="9">
        <v>340</v>
      </c>
      <c r="M67" s="9">
        <v>350</v>
      </c>
      <c r="N67" s="146" t="s">
        <v>140</v>
      </c>
      <c r="O67" s="153"/>
      <c r="Q67" s="147">
        <f t="shared" si="12"/>
        <v>8.5473999999999997</v>
      </c>
      <c r="R67" s="140">
        <f t="shared" si="13"/>
        <v>650</v>
      </c>
    </row>
    <row r="68" spans="1:24">
      <c r="A68" s="140" t="str">
        <f t="shared" si="10"/>
        <v>-</v>
      </c>
      <c r="B68" s="141" t="str">
        <f t="shared" si="11"/>
        <v>-</v>
      </c>
      <c r="C68" s="140"/>
      <c r="D68" s="142">
        <v>23</v>
      </c>
      <c r="E68" s="143" t="s">
        <v>138</v>
      </c>
      <c r="F68" s="143" t="s">
        <v>139</v>
      </c>
      <c r="G68" s="144"/>
      <c r="H68" s="9">
        <v>11.8</v>
      </c>
      <c r="I68" s="9">
        <v>23.3</v>
      </c>
      <c r="L68" s="9">
        <v>350</v>
      </c>
      <c r="M68" s="9">
        <v>400</v>
      </c>
      <c r="N68" s="146" t="s">
        <v>140</v>
      </c>
      <c r="O68" s="153"/>
      <c r="Q68" s="147">
        <f t="shared" si="12"/>
        <v>8.5473999999999997</v>
      </c>
      <c r="R68" s="140">
        <f t="shared" si="13"/>
        <v>650</v>
      </c>
    </row>
    <row r="69" spans="1:24">
      <c r="A69" s="140" t="str">
        <f t="shared" si="10"/>
        <v>-</v>
      </c>
      <c r="B69" s="141" t="str">
        <f t="shared" si="11"/>
        <v>-</v>
      </c>
      <c r="C69" s="140"/>
      <c r="D69" s="142">
        <v>24</v>
      </c>
      <c r="E69" s="143" t="s">
        <v>138</v>
      </c>
      <c r="F69" s="143" t="s">
        <v>139</v>
      </c>
      <c r="G69" s="144"/>
      <c r="H69" s="9">
        <v>10.4</v>
      </c>
      <c r="I69" s="9">
        <v>20.5</v>
      </c>
      <c r="L69" s="9">
        <v>400</v>
      </c>
      <c r="M69" s="9">
        <v>450</v>
      </c>
      <c r="N69" s="146" t="s">
        <v>140</v>
      </c>
      <c r="O69" s="153"/>
      <c r="Q69" s="147">
        <f t="shared" si="12"/>
        <v>8.5473999999999997</v>
      </c>
      <c r="R69" s="140">
        <f t="shared" si="13"/>
        <v>650</v>
      </c>
      <c r="X69" s="140"/>
    </row>
    <row r="70" spans="1:24">
      <c r="A70" s="140" t="str">
        <f t="shared" si="10"/>
        <v>-</v>
      </c>
      <c r="B70" s="141" t="str">
        <f t="shared" si="11"/>
        <v>-</v>
      </c>
      <c r="C70" s="140"/>
      <c r="D70" s="142">
        <v>25</v>
      </c>
      <c r="E70" s="143" t="s">
        <v>138</v>
      </c>
      <c r="F70" s="143" t="s">
        <v>139</v>
      </c>
      <c r="G70" s="144"/>
      <c r="H70" s="9">
        <v>9.1999999999999993</v>
      </c>
      <c r="I70" s="9">
        <v>18.3</v>
      </c>
      <c r="L70" s="9">
        <v>450</v>
      </c>
      <c r="M70" s="9">
        <v>500</v>
      </c>
      <c r="N70" s="146" t="s">
        <v>140</v>
      </c>
      <c r="O70" s="153"/>
      <c r="Q70" s="147">
        <f t="shared" si="12"/>
        <v>8.5473999999999997</v>
      </c>
      <c r="R70" s="140">
        <f t="shared" si="13"/>
        <v>650</v>
      </c>
      <c r="X70" s="140"/>
    </row>
    <row r="71" spans="1:24">
      <c r="A71" s="140" t="str">
        <f t="shared" si="10"/>
        <v>-</v>
      </c>
      <c r="B71" s="141" t="str">
        <f t="shared" si="11"/>
        <v>-</v>
      </c>
      <c r="C71" s="140"/>
      <c r="D71" s="142">
        <v>26</v>
      </c>
      <c r="E71" s="143" t="s">
        <v>138</v>
      </c>
      <c r="F71" s="143" t="s">
        <v>139</v>
      </c>
      <c r="G71" s="144"/>
      <c r="H71" s="9">
        <v>8.3000000000000007</v>
      </c>
      <c r="I71" s="9">
        <v>16.5</v>
      </c>
      <c r="L71" s="9">
        <v>500</v>
      </c>
      <c r="M71" s="9">
        <v>550</v>
      </c>
      <c r="N71" s="146" t="s">
        <v>140</v>
      </c>
      <c r="O71" s="153"/>
      <c r="Q71" s="147">
        <f t="shared" si="12"/>
        <v>8.5473999999999997</v>
      </c>
      <c r="R71" s="140">
        <f t="shared" si="13"/>
        <v>650</v>
      </c>
      <c r="X71" s="140"/>
    </row>
    <row r="72" spans="1:24">
      <c r="A72" s="140" t="str">
        <f t="shared" si="10"/>
        <v>-</v>
      </c>
      <c r="B72" s="141" t="str">
        <f t="shared" si="11"/>
        <v>-</v>
      </c>
      <c r="C72" s="140"/>
      <c r="D72" s="142">
        <v>27</v>
      </c>
      <c r="E72" s="143" t="s">
        <v>138</v>
      </c>
      <c r="F72" s="143" t="s">
        <v>139</v>
      </c>
      <c r="G72" s="144"/>
      <c r="H72" s="9">
        <v>7.6</v>
      </c>
      <c r="I72" s="9">
        <v>15</v>
      </c>
      <c r="L72" s="9">
        <v>550</v>
      </c>
      <c r="M72" s="9">
        <v>600</v>
      </c>
      <c r="N72" s="146" t="s">
        <v>140</v>
      </c>
      <c r="O72" s="153"/>
      <c r="Q72" s="147">
        <f t="shared" si="12"/>
        <v>8.5473999999999997</v>
      </c>
      <c r="R72" s="140">
        <f t="shared" si="13"/>
        <v>650</v>
      </c>
      <c r="X72" s="140"/>
    </row>
    <row r="73" spans="1:24">
      <c r="A73" s="140">
        <f t="shared" si="10"/>
        <v>28</v>
      </c>
      <c r="B73" s="141">
        <f t="shared" si="11"/>
        <v>0.53594366197183119</v>
      </c>
      <c r="C73" s="140"/>
      <c r="D73" s="142">
        <v>28</v>
      </c>
      <c r="E73" s="143" t="s">
        <v>138</v>
      </c>
      <c r="F73" s="143" t="s">
        <v>139</v>
      </c>
      <c r="G73" s="144"/>
      <c r="H73" s="9">
        <v>6.9</v>
      </c>
      <c r="I73" s="9">
        <v>14</v>
      </c>
      <c r="L73" s="9">
        <v>600</v>
      </c>
      <c r="M73" s="9">
        <v>650</v>
      </c>
      <c r="N73" s="146" t="s">
        <v>140</v>
      </c>
      <c r="O73" s="153"/>
      <c r="Q73" s="147">
        <f t="shared" si="12"/>
        <v>8.5473999999999997</v>
      </c>
      <c r="R73" s="140">
        <f t="shared" si="13"/>
        <v>650</v>
      </c>
      <c r="X73" s="140"/>
    </row>
    <row r="74" spans="1:24">
      <c r="A74" s="140">
        <f t="shared" si="10"/>
        <v>29</v>
      </c>
      <c r="B74" s="141">
        <f t="shared" si="11"/>
        <v>0.99658104000000003</v>
      </c>
      <c r="C74" s="140"/>
      <c r="D74" s="142">
        <v>29</v>
      </c>
      <c r="E74" s="149" t="s">
        <v>342</v>
      </c>
      <c r="F74" s="149" t="s">
        <v>342</v>
      </c>
      <c r="G74" s="150"/>
      <c r="H74" s="9">
        <v>0</v>
      </c>
      <c r="I74" s="9">
        <v>5000</v>
      </c>
      <c r="L74" s="9">
        <v>0</v>
      </c>
      <c r="M74" s="9">
        <v>2000</v>
      </c>
      <c r="N74" s="146" t="s">
        <v>374</v>
      </c>
      <c r="O74" s="153"/>
      <c r="Q74" s="147">
        <f t="shared" si="12"/>
        <v>8.5473999999999997</v>
      </c>
      <c r="R74" s="140">
        <f t="shared" si="13"/>
        <v>650</v>
      </c>
      <c r="X74" s="140"/>
    </row>
    <row r="75" spans="1:24">
      <c r="A75" s="140"/>
      <c r="B75" s="140"/>
      <c r="C75" s="140"/>
      <c r="D75" s="154"/>
      <c r="E75" s="149"/>
      <c r="F75" s="149"/>
      <c r="G75" s="150"/>
      <c r="H75" s="155"/>
      <c r="I75" s="155"/>
      <c r="J75" s="155"/>
      <c r="K75" s="155"/>
      <c r="L75" s="156"/>
      <c r="M75" s="156"/>
      <c r="N75" s="146"/>
      <c r="O75" s="153"/>
      <c r="R75" s="140"/>
      <c r="X75" s="140"/>
    </row>
    <row r="76" spans="1:24">
      <c r="D76" s="128"/>
      <c r="E76" s="129" t="s">
        <v>30</v>
      </c>
      <c r="F76" s="128" t="s">
        <v>376</v>
      </c>
      <c r="H76" s="131" t="s">
        <v>85</v>
      </c>
      <c r="I76" s="132">
        <f>'Free-Серия'!M33</f>
        <v>6.3380799999999997</v>
      </c>
      <c r="J76" s="132"/>
      <c r="K76" s="132"/>
      <c r="L76" s="131" t="s">
        <v>141</v>
      </c>
      <c r="M76" s="132">
        <f>'Free-Серия'!I33</f>
        <v>720</v>
      </c>
      <c r="Q76" s="135"/>
      <c r="R76" s="136"/>
    </row>
    <row r="77" spans="1:24">
      <c r="B77" s="163"/>
      <c r="D77" s="137" t="s">
        <v>0</v>
      </c>
      <c r="E77" s="137" t="s">
        <v>370</v>
      </c>
      <c r="F77" s="137" t="s">
        <v>371</v>
      </c>
      <c r="G77" s="137"/>
      <c r="H77" s="138" t="s">
        <v>366</v>
      </c>
      <c r="I77" s="138" t="s">
        <v>367</v>
      </c>
      <c r="J77" s="138"/>
      <c r="K77" s="138"/>
      <c r="L77" s="138" t="s">
        <v>368</v>
      </c>
      <c r="M77" s="138" t="s">
        <v>369</v>
      </c>
      <c r="N77" s="138" t="s">
        <v>88</v>
      </c>
      <c r="O77" s="138" t="s">
        <v>89</v>
      </c>
      <c r="P77" s="138" t="s">
        <v>122</v>
      </c>
      <c r="Q77" s="138" t="s">
        <v>85</v>
      </c>
      <c r="R77" s="138" t="s">
        <v>141</v>
      </c>
    </row>
    <row r="78" spans="1:24">
      <c r="A78" s="140" t="str">
        <f t="shared" ref="A78:A114" si="14">IF(AND(FSВысота&gt;=FSВыСот,FSВысота&lt;=FSВыСдо,FSВес&gt;=FSВеСот,FSВес&lt;=FSВеСдо),FS№,"-")</f>
        <v>-</v>
      </c>
      <c r="B78" s="141" t="str">
        <f t="shared" ref="B78:B114" si="15">IF(A78&lt;&gt;"-",ABS((FSВес-H78)/(I78-H78)*2-1),"-")</f>
        <v>-</v>
      </c>
      <c r="C78" s="140"/>
      <c r="D78" s="142">
        <v>1</v>
      </c>
      <c r="E78" s="143" t="s">
        <v>148</v>
      </c>
      <c r="F78" s="143" t="s">
        <v>149</v>
      </c>
      <c r="G78" s="144"/>
      <c r="H78" s="9">
        <v>1.8</v>
      </c>
      <c r="I78" s="9">
        <v>4</v>
      </c>
      <c r="L78" s="9">
        <v>370</v>
      </c>
      <c r="M78" s="9">
        <v>370</v>
      </c>
      <c r="N78" s="143" t="s">
        <v>150</v>
      </c>
      <c r="O78" s="153"/>
      <c r="Q78" s="147">
        <f t="shared" ref="Q78:Q114" si="16">FSВес</f>
        <v>6.3380799999999997</v>
      </c>
      <c r="R78" s="140">
        <f t="shared" ref="R78:R114" si="17">FSВысота</f>
        <v>720</v>
      </c>
    </row>
    <row r="79" spans="1:24">
      <c r="A79" s="140" t="str">
        <f t="shared" si="14"/>
        <v>-</v>
      </c>
      <c r="B79" s="141" t="str">
        <f t="shared" si="15"/>
        <v>-</v>
      </c>
      <c r="C79" s="140"/>
      <c r="D79" s="142">
        <v>2</v>
      </c>
      <c r="E79" s="143" t="s">
        <v>148</v>
      </c>
      <c r="F79" s="143" t="s">
        <v>149</v>
      </c>
      <c r="G79" s="144"/>
      <c r="H79" s="9">
        <v>3.4</v>
      </c>
      <c r="I79" s="9">
        <v>6.5</v>
      </c>
      <c r="L79" s="9">
        <v>370</v>
      </c>
      <c r="M79" s="9">
        <v>370</v>
      </c>
      <c r="N79" s="143" t="s">
        <v>150</v>
      </c>
      <c r="O79" s="153"/>
      <c r="Q79" s="147">
        <f t="shared" si="16"/>
        <v>6.3380799999999997</v>
      </c>
      <c r="R79" s="140">
        <f t="shared" si="17"/>
        <v>720</v>
      </c>
    </row>
    <row r="80" spans="1:24">
      <c r="A80" s="140" t="str">
        <f t="shared" si="14"/>
        <v>-</v>
      </c>
      <c r="B80" s="141" t="str">
        <f t="shared" si="15"/>
        <v>-</v>
      </c>
      <c r="C80" s="140"/>
      <c r="D80" s="142">
        <v>3</v>
      </c>
      <c r="E80" s="143" t="s">
        <v>148</v>
      </c>
      <c r="F80" s="143" t="s">
        <v>149</v>
      </c>
      <c r="G80" s="144"/>
      <c r="H80" s="9">
        <v>5.2</v>
      </c>
      <c r="I80" s="9">
        <v>10.3</v>
      </c>
      <c r="L80" s="9">
        <v>370</v>
      </c>
      <c r="M80" s="9">
        <v>370</v>
      </c>
      <c r="N80" s="143" t="s">
        <v>150</v>
      </c>
      <c r="O80" s="153" t="s">
        <v>161</v>
      </c>
      <c r="Q80" s="147">
        <f t="shared" si="16"/>
        <v>6.3380799999999997</v>
      </c>
      <c r="R80" s="140">
        <f t="shared" si="17"/>
        <v>720</v>
      </c>
      <c r="X80" s="140"/>
    </row>
    <row r="81" spans="1:24">
      <c r="A81" s="140" t="str">
        <f t="shared" si="14"/>
        <v>-</v>
      </c>
      <c r="B81" s="141" t="str">
        <f t="shared" si="15"/>
        <v>-</v>
      </c>
      <c r="C81" s="140"/>
      <c r="D81" s="142">
        <v>4</v>
      </c>
      <c r="E81" s="143" t="s">
        <v>148</v>
      </c>
      <c r="F81" s="143" t="s">
        <v>149</v>
      </c>
      <c r="G81" s="144"/>
      <c r="H81" s="9">
        <v>1.8</v>
      </c>
      <c r="I81" s="9">
        <v>3.9</v>
      </c>
      <c r="L81" s="9">
        <v>370</v>
      </c>
      <c r="M81" s="9">
        <v>370</v>
      </c>
      <c r="N81" s="143" t="s">
        <v>150</v>
      </c>
      <c r="O81" s="153"/>
      <c r="Q81" s="147">
        <f t="shared" si="16"/>
        <v>6.3380799999999997</v>
      </c>
      <c r="R81" s="140">
        <f t="shared" si="17"/>
        <v>720</v>
      </c>
      <c r="X81" s="140"/>
    </row>
    <row r="82" spans="1:24">
      <c r="A82" s="140" t="str">
        <f t="shared" si="14"/>
        <v>-</v>
      </c>
      <c r="B82" s="141" t="str">
        <f t="shared" si="15"/>
        <v>-</v>
      </c>
      <c r="C82" s="140"/>
      <c r="D82" s="142">
        <v>5</v>
      </c>
      <c r="E82" s="143" t="s">
        <v>148</v>
      </c>
      <c r="F82" s="143" t="s">
        <v>149</v>
      </c>
      <c r="G82" s="144"/>
      <c r="H82" s="9">
        <v>3.3</v>
      </c>
      <c r="I82" s="9">
        <v>6.3</v>
      </c>
      <c r="L82" s="9">
        <v>370</v>
      </c>
      <c r="M82" s="9">
        <v>400</v>
      </c>
      <c r="N82" s="143" t="s">
        <v>150</v>
      </c>
      <c r="O82" s="153"/>
      <c r="Q82" s="147">
        <f t="shared" si="16"/>
        <v>6.3380799999999997</v>
      </c>
      <c r="R82" s="140">
        <f t="shared" si="17"/>
        <v>720</v>
      </c>
      <c r="X82" s="140"/>
    </row>
    <row r="83" spans="1:24">
      <c r="A83" s="140" t="str">
        <f t="shared" si="14"/>
        <v>-</v>
      </c>
      <c r="B83" s="141" t="str">
        <f t="shared" si="15"/>
        <v>-</v>
      </c>
      <c r="C83" s="140"/>
      <c r="D83" s="142">
        <v>6</v>
      </c>
      <c r="E83" s="143" t="s">
        <v>148</v>
      </c>
      <c r="F83" s="143" t="s">
        <v>149</v>
      </c>
      <c r="G83" s="144"/>
      <c r="H83" s="9">
        <v>5</v>
      </c>
      <c r="I83" s="9">
        <v>10</v>
      </c>
      <c r="L83" s="9">
        <v>370</v>
      </c>
      <c r="M83" s="9">
        <v>400</v>
      </c>
      <c r="N83" s="143" t="s">
        <v>150</v>
      </c>
      <c r="O83" s="153" t="s">
        <v>161</v>
      </c>
      <c r="Q83" s="147">
        <f t="shared" si="16"/>
        <v>6.3380799999999997</v>
      </c>
      <c r="R83" s="140">
        <f t="shared" si="17"/>
        <v>720</v>
      </c>
      <c r="X83" s="140"/>
    </row>
    <row r="84" spans="1:24">
      <c r="A84" s="140" t="str">
        <f t="shared" si="14"/>
        <v>-</v>
      </c>
      <c r="B84" s="141" t="str">
        <f t="shared" si="15"/>
        <v>-</v>
      </c>
      <c r="C84" s="140"/>
      <c r="D84" s="142">
        <v>7</v>
      </c>
      <c r="E84" s="143" t="s">
        <v>148</v>
      </c>
      <c r="F84" s="143" t="s">
        <v>149</v>
      </c>
      <c r="G84" s="144"/>
      <c r="H84" s="9">
        <v>1.9</v>
      </c>
      <c r="I84" s="9">
        <v>3.7</v>
      </c>
      <c r="L84" s="9">
        <v>370</v>
      </c>
      <c r="M84" s="9">
        <v>400</v>
      </c>
      <c r="N84" s="143" t="s">
        <v>150</v>
      </c>
      <c r="O84" s="153"/>
      <c r="Q84" s="147">
        <f t="shared" si="16"/>
        <v>6.3380799999999997</v>
      </c>
      <c r="R84" s="140">
        <f t="shared" si="17"/>
        <v>720</v>
      </c>
      <c r="X84" s="140"/>
    </row>
    <row r="85" spans="1:24">
      <c r="A85" s="140" t="str">
        <f t="shared" si="14"/>
        <v>-</v>
      </c>
      <c r="B85" s="141" t="str">
        <f t="shared" si="15"/>
        <v>-</v>
      </c>
      <c r="C85" s="140"/>
      <c r="D85" s="142">
        <v>8</v>
      </c>
      <c r="E85" s="143" t="s">
        <v>148</v>
      </c>
      <c r="F85" s="143" t="s">
        <v>149</v>
      </c>
      <c r="G85" s="144"/>
      <c r="H85" s="9">
        <v>3.2</v>
      </c>
      <c r="I85" s="9">
        <v>6.1</v>
      </c>
      <c r="L85" s="9">
        <v>400</v>
      </c>
      <c r="M85" s="9">
        <v>450</v>
      </c>
      <c r="N85" s="143" t="s">
        <v>150</v>
      </c>
      <c r="O85" s="153"/>
      <c r="Q85" s="147">
        <f t="shared" si="16"/>
        <v>6.3380799999999997</v>
      </c>
      <c r="R85" s="140">
        <f t="shared" si="17"/>
        <v>720</v>
      </c>
      <c r="X85" s="140"/>
    </row>
    <row r="86" spans="1:24">
      <c r="A86" s="140" t="str">
        <f t="shared" si="14"/>
        <v>-</v>
      </c>
      <c r="B86" s="141" t="str">
        <f t="shared" si="15"/>
        <v>-</v>
      </c>
      <c r="C86" s="140"/>
      <c r="D86" s="142">
        <v>9</v>
      </c>
      <c r="E86" s="149" t="s">
        <v>148</v>
      </c>
      <c r="F86" s="149" t="s">
        <v>149</v>
      </c>
      <c r="G86" s="150"/>
      <c r="H86" s="9">
        <v>4.8</v>
      </c>
      <c r="I86" s="9">
        <v>9.4</v>
      </c>
      <c r="L86" s="9">
        <v>400</v>
      </c>
      <c r="M86" s="9">
        <v>450</v>
      </c>
      <c r="N86" s="149" t="s">
        <v>150</v>
      </c>
      <c r="O86" s="153" t="s">
        <v>161</v>
      </c>
      <c r="Q86" s="147">
        <f t="shared" si="16"/>
        <v>6.3380799999999997</v>
      </c>
      <c r="R86" s="140">
        <f t="shared" si="17"/>
        <v>720</v>
      </c>
      <c r="X86" s="140"/>
    </row>
    <row r="87" spans="1:24">
      <c r="A87" s="140" t="str">
        <f t="shared" si="14"/>
        <v>-</v>
      </c>
      <c r="B87" s="141" t="str">
        <f t="shared" si="15"/>
        <v>-</v>
      </c>
      <c r="C87" s="140"/>
      <c r="D87" s="142">
        <v>10</v>
      </c>
      <c r="E87" s="149" t="s">
        <v>148</v>
      </c>
      <c r="F87" s="149" t="s">
        <v>149</v>
      </c>
      <c r="G87" s="150"/>
      <c r="H87" s="9">
        <v>1.9</v>
      </c>
      <c r="I87" s="9">
        <v>3.5</v>
      </c>
      <c r="L87" s="9">
        <v>400</v>
      </c>
      <c r="M87" s="9">
        <v>450</v>
      </c>
      <c r="N87" s="149" t="s">
        <v>150</v>
      </c>
      <c r="O87" s="153"/>
      <c r="Q87" s="147">
        <f t="shared" si="16"/>
        <v>6.3380799999999997</v>
      </c>
      <c r="R87" s="140">
        <f t="shared" si="17"/>
        <v>720</v>
      </c>
      <c r="X87" s="140"/>
    </row>
    <row r="88" spans="1:24">
      <c r="A88" s="140" t="str">
        <f t="shared" si="14"/>
        <v>-</v>
      </c>
      <c r="B88" s="141" t="str">
        <f t="shared" si="15"/>
        <v>-</v>
      </c>
      <c r="C88" s="140"/>
      <c r="D88" s="142">
        <v>11</v>
      </c>
      <c r="E88" s="149" t="s">
        <v>148</v>
      </c>
      <c r="F88" s="149" t="s">
        <v>149</v>
      </c>
      <c r="G88" s="150"/>
      <c r="H88" s="9">
        <v>3</v>
      </c>
      <c r="I88" s="9">
        <v>5.8</v>
      </c>
      <c r="L88" s="9">
        <v>450</v>
      </c>
      <c r="M88" s="9">
        <v>500</v>
      </c>
      <c r="N88" s="149" t="s">
        <v>150</v>
      </c>
      <c r="O88" s="153"/>
      <c r="Q88" s="147">
        <f t="shared" si="16"/>
        <v>6.3380799999999997</v>
      </c>
      <c r="R88" s="140">
        <f t="shared" si="17"/>
        <v>720</v>
      </c>
      <c r="X88" s="140"/>
    </row>
    <row r="89" spans="1:24">
      <c r="A89" s="140" t="str">
        <f t="shared" si="14"/>
        <v>-</v>
      </c>
      <c r="B89" s="141" t="str">
        <f t="shared" si="15"/>
        <v>-</v>
      </c>
      <c r="C89" s="140"/>
      <c r="D89" s="142">
        <v>12</v>
      </c>
      <c r="E89" s="149" t="s">
        <v>148</v>
      </c>
      <c r="F89" s="149" t="s">
        <v>149</v>
      </c>
      <c r="G89" s="150"/>
      <c r="H89" s="9">
        <v>4.5</v>
      </c>
      <c r="I89" s="9">
        <v>8.9</v>
      </c>
      <c r="L89" s="9">
        <v>450</v>
      </c>
      <c r="M89" s="9">
        <v>500</v>
      </c>
      <c r="N89" s="149" t="s">
        <v>150</v>
      </c>
      <c r="O89" s="153" t="s">
        <v>161</v>
      </c>
      <c r="Q89" s="147">
        <f t="shared" si="16"/>
        <v>6.3380799999999997</v>
      </c>
      <c r="R89" s="140">
        <f t="shared" si="17"/>
        <v>720</v>
      </c>
      <c r="X89" s="140"/>
    </row>
    <row r="90" spans="1:24">
      <c r="A90" s="140" t="str">
        <f t="shared" si="14"/>
        <v>-</v>
      </c>
      <c r="B90" s="141" t="str">
        <f t="shared" si="15"/>
        <v>-</v>
      </c>
      <c r="C90" s="140"/>
      <c r="D90" s="142">
        <v>13</v>
      </c>
      <c r="E90" s="149" t="s">
        <v>148</v>
      </c>
      <c r="F90" s="149" t="s">
        <v>149</v>
      </c>
      <c r="G90" s="150"/>
      <c r="H90" s="9">
        <v>2.5</v>
      </c>
      <c r="I90" s="9">
        <v>5.9</v>
      </c>
      <c r="L90" s="9">
        <v>450</v>
      </c>
      <c r="M90" s="9">
        <v>500</v>
      </c>
      <c r="N90" s="149" t="s">
        <v>150</v>
      </c>
      <c r="O90" s="153"/>
      <c r="Q90" s="147">
        <f t="shared" si="16"/>
        <v>6.3380799999999997</v>
      </c>
      <c r="R90" s="140">
        <f t="shared" si="17"/>
        <v>720</v>
      </c>
      <c r="X90" s="140"/>
    </row>
    <row r="91" spans="1:24">
      <c r="A91" s="140" t="str">
        <f t="shared" si="14"/>
        <v>-</v>
      </c>
      <c r="B91" s="141" t="str">
        <f t="shared" si="15"/>
        <v>-</v>
      </c>
      <c r="C91" s="140"/>
      <c r="D91" s="142">
        <v>14</v>
      </c>
      <c r="E91" s="149" t="s">
        <v>151</v>
      </c>
      <c r="F91" s="149" t="s">
        <v>152</v>
      </c>
      <c r="G91" s="150"/>
      <c r="H91" s="9">
        <v>5</v>
      </c>
      <c r="I91" s="9">
        <v>10</v>
      </c>
      <c r="L91" s="9">
        <v>450</v>
      </c>
      <c r="M91" s="9">
        <v>500</v>
      </c>
      <c r="N91" s="149" t="s">
        <v>153</v>
      </c>
      <c r="O91" s="153" t="s">
        <v>161</v>
      </c>
      <c r="Q91" s="147">
        <f t="shared" si="16"/>
        <v>6.3380799999999997</v>
      </c>
      <c r="R91" s="140">
        <f t="shared" si="17"/>
        <v>720</v>
      </c>
      <c r="X91" s="140"/>
    </row>
    <row r="92" spans="1:24">
      <c r="A92" s="140" t="str">
        <f t="shared" si="14"/>
        <v>-</v>
      </c>
      <c r="B92" s="141" t="str">
        <f t="shared" si="15"/>
        <v>-</v>
      </c>
      <c r="C92" s="140"/>
      <c r="D92" s="142">
        <v>15</v>
      </c>
      <c r="E92" s="149" t="s">
        <v>154</v>
      </c>
      <c r="F92" s="149" t="s">
        <v>155</v>
      </c>
      <c r="G92" s="150"/>
      <c r="H92" s="9">
        <v>8.1999999999999993</v>
      </c>
      <c r="I92" s="9">
        <v>15.9</v>
      </c>
      <c r="L92" s="9">
        <v>450</v>
      </c>
      <c r="M92" s="9">
        <v>500</v>
      </c>
      <c r="N92" s="149" t="s">
        <v>156</v>
      </c>
      <c r="O92" s="153" t="s">
        <v>161</v>
      </c>
      <c r="Q92" s="147">
        <f t="shared" si="16"/>
        <v>6.3380799999999997</v>
      </c>
      <c r="R92" s="140">
        <f t="shared" si="17"/>
        <v>720</v>
      </c>
      <c r="X92" s="140"/>
    </row>
    <row r="93" spans="1:24">
      <c r="A93" s="140" t="str">
        <f t="shared" si="14"/>
        <v>-</v>
      </c>
      <c r="B93" s="141" t="str">
        <f t="shared" si="15"/>
        <v>-</v>
      </c>
      <c r="C93" s="140"/>
      <c r="D93" s="142">
        <v>16</v>
      </c>
      <c r="E93" s="149" t="s">
        <v>148</v>
      </c>
      <c r="F93" s="149" t="s">
        <v>149</v>
      </c>
      <c r="G93" s="150"/>
      <c r="H93" s="9">
        <v>2.5</v>
      </c>
      <c r="I93" s="9">
        <v>5.6</v>
      </c>
      <c r="L93" s="9">
        <v>450</v>
      </c>
      <c r="M93" s="9">
        <v>500</v>
      </c>
      <c r="N93" s="149" t="s">
        <v>150</v>
      </c>
      <c r="O93" s="153"/>
      <c r="Q93" s="147">
        <f t="shared" si="16"/>
        <v>6.3380799999999997</v>
      </c>
      <c r="R93" s="140">
        <f t="shared" si="17"/>
        <v>720</v>
      </c>
      <c r="X93" s="140"/>
    </row>
    <row r="94" spans="1:24">
      <c r="A94" s="140" t="str">
        <f t="shared" si="14"/>
        <v>-</v>
      </c>
      <c r="B94" s="141" t="str">
        <f t="shared" si="15"/>
        <v>-</v>
      </c>
      <c r="C94" s="140"/>
      <c r="D94" s="142">
        <v>17</v>
      </c>
      <c r="E94" s="149" t="s">
        <v>151</v>
      </c>
      <c r="F94" s="149" t="s">
        <v>152</v>
      </c>
      <c r="G94" s="150"/>
      <c r="H94" s="9">
        <v>4.8</v>
      </c>
      <c r="I94" s="9">
        <v>9.6</v>
      </c>
      <c r="L94" s="9">
        <v>500</v>
      </c>
      <c r="M94" s="9">
        <v>550</v>
      </c>
      <c r="N94" s="149" t="s">
        <v>153</v>
      </c>
      <c r="O94" s="153" t="s">
        <v>161</v>
      </c>
      <c r="Q94" s="147">
        <f t="shared" si="16"/>
        <v>6.3380799999999997</v>
      </c>
      <c r="R94" s="140">
        <f t="shared" si="17"/>
        <v>720</v>
      </c>
      <c r="X94" s="140"/>
    </row>
    <row r="95" spans="1:24">
      <c r="A95" s="140" t="str">
        <f t="shared" si="14"/>
        <v>-</v>
      </c>
      <c r="B95" s="141" t="str">
        <f t="shared" si="15"/>
        <v>-</v>
      </c>
      <c r="C95" s="140"/>
      <c r="D95" s="142">
        <v>18</v>
      </c>
      <c r="E95" s="149" t="s">
        <v>154</v>
      </c>
      <c r="F95" s="149" t="s">
        <v>155</v>
      </c>
      <c r="G95" s="150"/>
      <c r="H95" s="9">
        <v>7.8</v>
      </c>
      <c r="I95" s="9">
        <v>15.2</v>
      </c>
      <c r="L95" s="9">
        <v>500</v>
      </c>
      <c r="M95" s="9">
        <v>550</v>
      </c>
      <c r="N95" s="149" t="s">
        <v>156</v>
      </c>
      <c r="O95" s="153" t="s">
        <v>161</v>
      </c>
      <c r="Q95" s="147">
        <f t="shared" si="16"/>
        <v>6.3380799999999997</v>
      </c>
      <c r="R95" s="140">
        <f t="shared" si="17"/>
        <v>720</v>
      </c>
    </row>
    <row r="96" spans="1:24">
      <c r="A96" s="140" t="str">
        <f t="shared" si="14"/>
        <v>-</v>
      </c>
      <c r="B96" s="141" t="str">
        <f t="shared" si="15"/>
        <v>-</v>
      </c>
      <c r="C96" s="140"/>
      <c r="D96" s="142">
        <v>19</v>
      </c>
      <c r="E96" s="149" t="s">
        <v>148</v>
      </c>
      <c r="F96" s="149" t="s">
        <v>149</v>
      </c>
      <c r="G96" s="150"/>
      <c r="H96" s="9">
        <v>2.5</v>
      </c>
      <c r="I96" s="9">
        <v>5.3</v>
      </c>
      <c r="L96" s="9">
        <v>500</v>
      </c>
      <c r="M96" s="9">
        <v>550</v>
      </c>
      <c r="N96" s="149" t="s">
        <v>150</v>
      </c>
      <c r="O96" s="153"/>
      <c r="Q96" s="147">
        <f t="shared" si="16"/>
        <v>6.3380799999999997</v>
      </c>
      <c r="R96" s="140">
        <f t="shared" si="17"/>
        <v>720</v>
      </c>
    </row>
    <row r="97" spans="1:24">
      <c r="A97" s="140" t="str">
        <f t="shared" si="14"/>
        <v>-</v>
      </c>
      <c r="B97" s="141" t="str">
        <f t="shared" si="15"/>
        <v>-</v>
      </c>
      <c r="C97" s="140"/>
      <c r="D97" s="142">
        <v>20</v>
      </c>
      <c r="E97" s="149" t="s">
        <v>151</v>
      </c>
      <c r="F97" s="149" t="s">
        <v>152</v>
      </c>
      <c r="G97" s="150"/>
      <c r="H97" s="9">
        <v>4.7</v>
      </c>
      <c r="I97" s="9">
        <v>9.3000000000000007</v>
      </c>
      <c r="L97" s="9">
        <v>650</v>
      </c>
      <c r="M97" s="9">
        <v>600</v>
      </c>
      <c r="N97" s="149" t="s">
        <v>153</v>
      </c>
      <c r="O97" s="153" t="s">
        <v>161</v>
      </c>
      <c r="Q97" s="147">
        <f t="shared" si="16"/>
        <v>6.3380799999999997</v>
      </c>
      <c r="R97" s="140">
        <f t="shared" si="17"/>
        <v>720</v>
      </c>
    </row>
    <row r="98" spans="1:24">
      <c r="A98" s="140" t="str">
        <f t="shared" si="14"/>
        <v>-</v>
      </c>
      <c r="B98" s="141" t="str">
        <f t="shared" si="15"/>
        <v>-</v>
      </c>
      <c r="C98" s="140"/>
      <c r="D98" s="142">
        <v>21</v>
      </c>
      <c r="E98" s="149" t="s">
        <v>154</v>
      </c>
      <c r="F98" s="149" t="s">
        <v>155</v>
      </c>
      <c r="G98" s="150"/>
      <c r="H98" s="9">
        <v>7.5</v>
      </c>
      <c r="I98" s="9">
        <v>14.5</v>
      </c>
      <c r="L98" s="9">
        <v>650</v>
      </c>
      <c r="M98" s="9">
        <v>600</v>
      </c>
      <c r="N98" s="149" t="s">
        <v>156</v>
      </c>
      <c r="O98" s="153" t="s">
        <v>161</v>
      </c>
      <c r="Q98" s="147">
        <f t="shared" si="16"/>
        <v>6.3380799999999997</v>
      </c>
      <c r="R98" s="140">
        <f t="shared" si="17"/>
        <v>720</v>
      </c>
      <c r="X98" s="140"/>
    </row>
    <row r="99" spans="1:24">
      <c r="A99" s="140" t="str">
        <f t="shared" si="14"/>
        <v>-</v>
      </c>
      <c r="B99" s="141" t="str">
        <f t="shared" si="15"/>
        <v>-</v>
      </c>
      <c r="C99" s="140"/>
      <c r="D99" s="142">
        <v>22</v>
      </c>
      <c r="E99" s="149" t="s">
        <v>148</v>
      </c>
      <c r="F99" s="149" t="s">
        <v>149</v>
      </c>
      <c r="G99" s="150"/>
      <c r="H99" s="9">
        <v>2.5</v>
      </c>
      <c r="I99" s="9">
        <v>4.8</v>
      </c>
      <c r="L99" s="9">
        <v>650</v>
      </c>
      <c r="M99" s="9">
        <v>600</v>
      </c>
      <c r="N99" s="149" t="s">
        <v>150</v>
      </c>
      <c r="O99" s="153"/>
      <c r="Q99" s="147">
        <f t="shared" si="16"/>
        <v>6.3380799999999997</v>
      </c>
      <c r="R99" s="140">
        <f t="shared" si="17"/>
        <v>720</v>
      </c>
      <c r="X99" s="140"/>
    </row>
    <row r="100" spans="1:24">
      <c r="A100" s="140" t="str">
        <f t="shared" si="14"/>
        <v>-</v>
      </c>
      <c r="B100" s="141" t="str">
        <f t="shared" si="15"/>
        <v>-</v>
      </c>
      <c r="C100" s="140"/>
      <c r="D100" s="142">
        <v>23</v>
      </c>
      <c r="E100" s="149" t="s">
        <v>151</v>
      </c>
      <c r="F100" s="149" t="s">
        <v>152</v>
      </c>
      <c r="G100" s="150"/>
      <c r="H100" s="9">
        <v>4.5</v>
      </c>
      <c r="I100" s="9">
        <v>8.8000000000000007</v>
      </c>
      <c r="L100" s="9">
        <v>600</v>
      </c>
      <c r="M100" s="9">
        <v>670</v>
      </c>
      <c r="N100" s="149" t="s">
        <v>153</v>
      </c>
      <c r="O100" s="153" t="s">
        <v>161</v>
      </c>
      <c r="Q100" s="147">
        <f t="shared" si="16"/>
        <v>6.3380799999999997</v>
      </c>
      <c r="R100" s="140">
        <f t="shared" si="17"/>
        <v>720</v>
      </c>
      <c r="X100" s="140"/>
    </row>
    <row r="101" spans="1:24">
      <c r="A101" s="140" t="str">
        <f t="shared" si="14"/>
        <v>-</v>
      </c>
      <c r="B101" s="141" t="str">
        <f t="shared" si="15"/>
        <v>-</v>
      </c>
      <c r="C101" s="140"/>
      <c r="D101" s="142">
        <v>24</v>
      </c>
      <c r="E101" s="149" t="s">
        <v>154</v>
      </c>
      <c r="F101" s="149" t="s">
        <v>155</v>
      </c>
      <c r="G101" s="150"/>
      <c r="H101" s="9">
        <v>7</v>
      </c>
      <c r="I101" s="9">
        <v>13.5</v>
      </c>
      <c r="L101" s="9">
        <v>600</v>
      </c>
      <c r="M101" s="9">
        <v>670</v>
      </c>
      <c r="N101" s="149" t="s">
        <v>156</v>
      </c>
      <c r="O101" s="153" t="s">
        <v>161</v>
      </c>
      <c r="Q101" s="147">
        <f t="shared" si="16"/>
        <v>6.3380799999999997</v>
      </c>
      <c r="R101" s="140">
        <f t="shared" si="17"/>
        <v>720</v>
      </c>
      <c r="X101" s="140"/>
    </row>
    <row r="102" spans="1:24">
      <c r="A102" s="140" t="str">
        <f t="shared" si="14"/>
        <v>-</v>
      </c>
      <c r="B102" s="141" t="str">
        <f t="shared" si="15"/>
        <v>-</v>
      </c>
      <c r="C102" s="140"/>
      <c r="D102" s="142">
        <v>25</v>
      </c>
      <c r="E102" s="149" t="s">
        <v>157</v>
      </c>
      <c r="F102" s="149" t="s">
        <v>158</v>
      </c>
      <c r="G102" s="150"/>
      <c r="H102" s="9">
        <v>3.2</v>
      </c>
      <c r="I102" s="9">
        <v>6.5</v>
      </c>
      <c r="L102" s="9">
        <v>600</v>
      </c>
      <c r="M102" s="9">
        <v>670</v>
      </c>
      <c r="N102" s="149" t="s">
        <v>159</v>
      </c>
      <c r="O102" s="153" t="s">
        <v>161</v>
      </c>
      <c r="Q102" s="147">
        <f t="shared" si="16"/>
        <v>6.3380799999999997</v>
      </c>
      <c r="R102" s="140">
        <f t="shared" si="17"/>
        <v>720</v>
      </c>
      <c r="X102" s="140"/>
    </row>
    <row r="103" spans="1:24">
      <c r="A103" s="140" t="str">
        <f t="shared" si="14"/>
        <v>-</v>
      </c>
      <c r="B103" s="141" t="str">
        <f t="shared" si="15"/>
        <v>-</v>
      </c>
      <c r="C103" s="140"/>
      <c r="D103" s="142">
        <v>26</v>
      </c>
      <c r="E103" s="149" t="s">
        <v>25</v>
      </c>
      <c r="F103" s="149" t="s">
        <v>26</v>
      </c>
      <c r="G103" s="150"/>
      <c r="H103" s="9">
        <v>5.7</v>
      </c>
      <c r="I103" s="9">
        <v>11.3</v>
      </c>
      <c r="L103" s="9">
        <v>600</v>
      </c>
      <c r="M103" s="9">
        <v>670</v>
      </c>
      <c r="N103" s="149" t="s">
        <v>160</v>
      </c>
      <c r="O103" s="153" t="s">
        <v>161</v>
      </c>
      <c r="Q103" s="147">
        <f t="shared" si="16"/>
        <v>6.3380799999999997</v>
      </c>
      <c r="R103" s="140">
        <f t="shared" si="17"/>
        <v>720</v>
      </c>
      <c r="X103" s="140"/>
    </row>
    <row r="104" spans="1:24">
      <c r="A104" s="140" t="str">
        <f t="shared" si="14"/>
        <v>-</v>
      </c>
      <c r="B104" s="141" t="str">
        <f t="shared" si="15"/>
        <v>-</v>
      </c>
      <c r="C104" s="140"/>
      <c r="D104" s="142">
        <v>27</v>
      </c>
      <c r="E104" s="149" t="s">
        <v>25</v>
      </c>
      <c r="F104" s="149" t="s">
        <v>26</v>
      </c>
      <c r="G104" s="150"/>
      <c r="H104" s="9">
        <v>8.5</v>
      </c>
      <c r="I104" s="9">
        <v>17.100000000000001</v>
      </c>
      <c r="L104" s="9">
        <v>600</v>
      </c>
      <c r="M104" s="9">
        <v>670</v>
      </c>
      <c r="N104" s="149" t="s">
        <v>160</v>
      </c>
      <c r="O104" s="153"/>
      <c r="Q104" s="147">
        <f t="shared" si="16"/>
        <v>6.3380799999999997</v>
      </c>
      <c r="R104" s="140">
        <f t="shared" si="17"/>
        <v>720</v>
      </c>
      <c r="X104" s="140"/>
    </row>
    <row r="105" spans="1:24">
      <c r="A105" s="140" t="str">
        <f t="shared" si="14"/>
        <v>-</v>
      </c>
      <c r="B105" s="141" t="str">
        <f t="shared" si="15"/>
        <v>-</v>
      </c>
      <c r="C105" s="140"/>
      <c r="D105" s="142">
        <v>28</v>
      </c>
      <c r="E105" s="149" t="s">
        <v>157</v>
      </c>
      <c r="F105" s="149" t="s">
        <v>158</v>
      </c>
      <c r="G105" s="150"/>
      <c r="H105" s="9">
        <v>3.1</v>
      </c>
      <c r="I105" s="9">
        <v>6.3</v>
      </c>
      <c r="L105" s="9">
        <v>600</v>
      </c>
      <c r="M105" s="9">
        <v>670</v>
      </c>
      <c r="N105" s="149" t="s">
        <v>159</v>
      </c>
      <c r="O105" s="153" t="s">
        <v>161</v>
      </c>
      <c r="Q105" s="147">
        <f t="shared" si="16"/>
        <v>6.3380799999999997</v>
      </c>
      <c r="R105" s="140">
        <f t="shared" si="17"/>
        <v>720</v>
      </c>
      <c r="X105" s="140"/>
    </row>
    <row r="106" spans="1:24">
      <c r="A106" s="140" t="str">
        <f t="shared" si="14"/>
        <v>-</v>
      </c>
      <c r="B106" s="141" t="str">
        <f t="shared" si="15"/>
        <v>-</v>
      </c>
      <c r="C106" s="140"/>
      <c r="D106" s="142">
        <v>29</v>
      </c>
      <c r="E106" s="149" t="s">
        <v>25</v>
      </c>
      <c r="F106" s="149" t="s">
        <v>26</v>
      </c>
      <c r="G106" s="150"/>
      <c r="H106" s="9">
        <v>5.6</v>
      </c>
      <c r="I106" s="9">
        <v>11.1</v>
      </c>
      <c r="L106" s="9">
        <v>670</v>
      </c>
      <c r="M106" s="9">
        <v>700</v>
      </c>
      <c r="N106" s="149" t="s">
        <v>160</v>
      </c>
      <c r="O106" s="153" t="s">
        <v>161</v>
      </c>
      <c r="Q106" s="147">
        <f t="shared" si="16"/>
        <v>6.3380799999999997</v>
      </c>
      <c r="R106" s="140">
        <f t="shared" si="17"/>
        <v>720</v>
      </c>
      <c r="X106" s="140"/>
    </row>
    <row r="107" spans="1:24">
      <c r="A107" s="140" t="str">
        <f t="shared" si="14"/>
        <v>-</v>
      </c>
      <c r="B107" s="141" t="str">
        <f t="shared" si="15"/>
        <v>-</v>
      </c>
      <c r="C107" s="140"/>
      <c r="D107" s="142">
        <v>30</v>
      </c>
      <c r="E107" s="149" t="s">
        <v>25</v>
      </c>
      <c r="F107" s="149" t="s">
        <v>26</v>
      </c>
      <c r="G107" s="150"/>
      <c r="H107" s="9">
        <v>8.4</v>
      </c>
      <c r="I107" s="9">
        <v>16.7</v>
      </c>
      <c r="L107" s="9">
        <v>670</v>
      </c>
      <c r="M107" s="9">
        <v>700</v>
      </c>
      <c r="N107" s="149" t="s">
        <v>160</v>
      </c>
      <c r="O107" s="153"/>
      <c r="Q107" s="147">
        <f t="shared" si="16"/>
        <v>6.3380799999999997</v>
      </c>
      <c r="R107" s="140">
        <f t="shared" si="17"/>
        <v>720</v>
      </c>
      <c r="X107" s="140"/>
    </row>
    <row r="108" spans="1:24">
      <c r="A108" s="140" t="str">
        <f t="shared" si="14"/>
        <v>-</v>
      </c>
      <c r="B108" s="141" t="str">
        <f t="shared" si="15"/>
        <v>-</v>
      </c>
      <c r="C108" s="140"/>
      <c r="D108" s="142">
        <v>31</v>
      </c>
      <c r="E108" s="149" t="s">
        <v>157</v>
      </c>
      <c r="F108" s="149" t="s">
        <v>158</v>
      </c>
      <c r="G108" s="150"/>
      <c r="H108" s="9">
        <v>3</v>
      </c>
      <c r="I108" s="9">
        <v>6</v>
      </c>
      <c r="L108" s="9">
        <v>670</v>
      </c>
      <c r="M108" s="9">
        <v>700</v>
      </c>
      <c r="N108" s="149" t="s">
        <v>159</v>
      </c>
      <c r="O108" s="153" t="s">
        <v>161</v>
      </c>
      <c r="Q108" s="147">
        <f t="shared" si="16"/>
        <v>6.3380799999999997</v>
      </c>
      <c r="R108" s="140">
        <f t="shared" si="17"/>
        <v>720</v>
      </c>
      <c r="X108" s="140"/>
    </row>
    <row r="109" spans="1:24">
      <c r="A109" s="140">
        <f t="shared" si="14"/>
        <v>32</v>
      </c>
      <c r="B109" s="141">
        <f t="shared" si="15"/>
        <v>0.64600754716981146</v>
      </c>
      <c r="C109" s="140"/>
      <c r="D109" s="142">
        <v>32</v>
      </c>
      <c r="E109" s="149" t="s">
        <v>25</v>
      </c>
      <c r="F109" s="149" t="s">
        <v>26</v>
      </c>
      <c r="G109" s="150"/>
      <c r="H109" s="9">
        <v>5.4</v>
      </c>
      <c r="I109" s="9">
        <v>10.7</v>
      </c>
      <c r="L109" s="9">
        <v>700</v>
      </c>
      <c r="M109" s="9">
        <v>750</v>
      </c>
      <c r="N109" s="149" t="s">
        <v>160</v>
      </c>
      <c r="O109" s="153" t="s">
        <v>161</v>
      </c>
      <c r="Q109" s="147">
        <f t="shared" si="16"/>
        <v>6.3380799999999997</v>
      </c>
      <c r="R109" s="140">
        <f t="shared" si="17"/>
        <v>720</v>
      </c>
      <c r="X109" s="140"/>
    </row>
    <row r="110" spans="1:24">
      <c r="A110" s="140" t="str">
        <f t="shared" si="14"/>
        <v>-</v>
      </c>
      <c r="B110" s="141" t="str">
        <f t="shared" si="15"/>
        <v>-</v>
      </c>
      <c r="C110" s="140"/>
      <c r="D110" s="142">
        <v>33</v>
      </c>
      <c r="E110" s="149" t="s">
        <v>25</v>
      </c>
      <c r="F110" s="149" t="s">
        <v>26</v>
      </c>
      <c r="G110" s="150"/>
      <c r="H110" s="9">
        <v>8.1999999999999993</v>
      </c>
      <c r="I110" s="9">
        <v>16</v>
      </c>
      <c r="L110" s="9">
        <v>700</v>
      </c>
      <c r="M110" s="9">
        <v>750</v>
      </c>
      <c r="N110" s="149" t="s">
        <v>160</v>
      </c>
      <c r="O110" s="153"/>
      <c r="Q110" s="147">
        <f t="shared" si="16"/>
        <v>6.3380799999999997</v>
      </c>
      <c r="R110" s="140">
        <f t="shared" si="17"/>
        <v>720</v>
      </c>
      <c r="X110" s="140"/>
    </row>
    <row r="111" spans="1:24">
      <c r="A111" s="140" t="str">
        <f t="shared" si="14"/>
        <v>-</v>
      </c>
      <c r="B111" s="141" t="str">
        <f t="shared" si="15"/>
        <v>-</v>
      </c>
      <c r="C111" s="140"/>
      <c r="D111" s="142">
        <v>34</v>
      </c>
      <c r="E111" s="149" t="s">
        <v>157</v>
      </c>
      <c r="F111" s="149" t="s">
        <v>158</v>
      </c>
      <c r="G111" s="150"/>
      <c r="H111" s="9">
        <v>2.9</v>
      </c>
      <c r="I111" s="9">
        <v>5.7</v>
      </c>
      <c r="L111" s="9">
        <v>700</v>
      </c>
      <c r="M111" s="9">
        <v>750</v>
      </c>
      <c r="N111" s="149" t="s">
        <v>159</v>
      </c>
      <c r="O111" s="153" t="s">
        <v>161</v>
      </c>
      <c r="Q111" s="147">
        <f t="shared" si="16"/>
        <v>6.3380799999999997</v>
      </c>
      <c r="R111" s="140">
        <f t="shared" si="17"/>
        <v>720</v>
      </c>
      <c r="X111" s="140"/>
    </row>
    <row r="112" spans="1:24">
      <c r="A112" s="140" t="str">
        <f t="shared" si="14"/>
        <v>-</v>
      </c>
      <c r="B112" s="141" t="str">
        <f t="shared" si="15"/>
        <v>-</v>
      </c>
      <c r="C112" s="140"/>
      <c r="D112" s="142">
        <v>35</v>
      </c>
      <c r="E112" s="149" t="s">
        <v>25</v>
      </c>
      <c r="F112" s="149" t="s">
        <v>26</v>
      </c>
      <c r="G112" s="150"/>
      <c r="H112" s="9">
        <v>5.3</v>
      </c>
      <c r="I112" s="9">
        <v>10.3</v>
      </c>
      <c r="L112" s="9">
        <v>750</v>
      </c>
      <c r="M112" s="9">
        <v>800</v>
      </c>
      <c r="N112" s="149" t="s">
        <v>160</v>
      </c>
      <c r="O112" s="153" t="s">
        <v>161</v>
      </c>
      <c r="Q112" s="147">
        <f t="shared" si="16"/>
        <v>6.3380799999999997</v>
      </c>
      <c r="R112" s="140">
        <f t="shared" si="17"/>
        <v>720</v>
      </c>
      <c r="X112" s="140"/>
    </row>
    <row r="113" spans="1:24">
      <c r="A113" s="140" t="str">
        <f t="shared" si="14"/>
        <v>-</v>
      </c>
      <c r="B113" s="141" t="str">
        <f t="shared" si="15"/>
        <v>-</v>
      </c>
      <c r="C113" s="140"/>
      <c r="D113" s="164">
        <v>36</v>
      </c>
      <c r="E113" s="149" t="s">
        <v>25</v>
      </c>
      <c r="F113" s="149" t="s">
        <v>26</v>
      </c>
      <c r="G113" s="150"/>
      <c r="H113" s="9">
        <v>8</v>
      </c>
      <c r="I113" s="9">
        <v>15.3</v>
      </c>
      <c r="L113" s="9">
        <v>750</v>
      </c>
      <c r="M113" s="9">
        <v>800</v>
      </c>
      <c r="N113" s="149" t="s">
        <v>160</v>
      </c>
      <c r="O113" s="153"/>
      <c r="Q113" s="147">
        <f t="shared" si="16"/>
        <v>6.3380799999999997</v>
      </c>
      <c r="R113" s="140">
        <f t="shared" si="17"/>
        <v>720</v>
      </c>
      <c r="X113" s="140"/>
    </row>
    <row r="114" spans="1:24">
      <c r="A114" s="140">
        <f t="shared" si="14"/>
        <v>37</v>
      </c>
      <c r="B114" s="141">
        <f t="shared" si="15"/>
        <v>0.98732383999999995</v>
      </c>
      <c r="C114" s="140"/>
      <c r="D114" s="164">
        <v>37</v>
      </c>
      <c r="E114" s="149" t="s">
        <v>342</v>
      </c>
      <c r="F114" s="149" t="s">
        <v>342</v>
      </c>
      <c r="G114" s="150"/>
      <c r="H114" s="9">
        <v>0</v>
      </c>
      <c r="I114" s="9">
        <v>1000</v>
      </c>
      <c r="L114" s="9">
        <v>0</v>
      </c>
      <c r="M114" s="9">
        <v>2000</v>
      </c>
      <c r="N114" s="149" t="s">
        <v>377</v>
      </c>
      <c r="O114" s="153"/>
      <c r="Q114" s="147">
        <f t="shared" si="16"/>
        <v>6.3380799999999997</v>
      </c>
      <c r="R114" s="140">
        <f t="shared" si="17"/>
        <v>720</v>
      </c>
      <c r="X114" s="140"/>
    </row>
    <row r="115" spans="1:24">
      <c r="A115" s="140"/>
      <c r="B115" s="140"/>
      <c r="C115" s="140"/>
      <c r="D115" s="154"/>
      <c r="E115" s="149"/>
      <c r="F115" s="149"/>
      <c r="G115" s="150"/>
      <c r="H115" s="155"/>
      <c r="I115" s="155"/>
      <c r="J115" s="155"/>
      <c r="K115" s="155"/>
      <c r="L115" s="156"/>
      <c r="M115" s="156"/>
      <c r="N115" s="146"/>
      <c r="O115" s="153"/>
      <c r="R115" s="140"/>
      <c r="X115" s="140"/>
    </row>
    <row r="116" spans="1:24">
      <c r="D116" s="128"/>
      <c r="E116" s="129" t="s">
        <v>36</v>
      </c>
      <c r="F116" s="128" t="s">
        <v>378</v>
      </c>
      <c r="H116" s="131" t="s">
        <v>85</v>
      </c>
      <c r="I116" s="132">
        <f>'Free-Серия'!M55</f>
        <v>7.2477999999999998</v>
      </c>
      <c r="J116" s="132"/>
      <c r="K116" s="132"/>
      <c r="L116" s="131" t="s">
        <v>141</v>
      </c>
      <c r="M116" s="132">
        <f>'Free-Серия'!I55</f>
        <v>550</v>
      </c>
      <c r="Q116" s="135"/>
      <c r="R116" s="136"/>
    </row>
    <row r="117" spans="1:24">
      <c r="D117" s="137" t="s">
        <v>0</v>
      </c>
      <c r="E117" s="137" t="s">
        <v>370</v>
      </c>
      <c r="F117" s="137" t="s">
        <v>371</v>
      </c>
      <c r="G117" s="137"/>
      <c r="H117" s="138" t="s">
        <v>366</v>
      </c>
      <c r="I117" s="138" t="s">
        <v>367</v>
      </c>
      <c r="J117" s="138"/>
      <c r="K117" s="138"/>
      <c r="L117" s="138" t="s">
        <v>368</v>
      </c>
      <c r="M117" s="138" t="s">
        <v>369</v>
      </c>
      <c r="N117" s="138" t="s">
        <v>88</v>
      </c>
      <c r="O117" s="138" t="s">
        <v>89</v>
      </c>
      <c r="P117" s="138" t="s">
        <v>122</v>
      </c>
      <c r="Q117" s="138" t="s">
        <v>85</v>
      </c>
      <c r="R117" s="138" t="s">
        <v>141</v>
      </c>
    </row>
    <row r="118" spans="1:24">
      <c r="A118" s="140" t="str">
        <f t="shared" ref="A118:A124" si="18">IF(AND(FUВысота&gt;=FUВыСот,FUВысота&lt;=FUВыСдо,FUВес&gt;=FUВеСот,FUВес&lt;=FUВеСдо),FU№,"-")</f>
        <v>-</v>
      </c>
      <c r="B118" s="141" t="str">
        <f t="shared" ref="B118:B124" si="19">IF(A118&lt;&gt;"-",ABS((FUВес-H118)/(I118-H118)*2-1),"-")</f>
        <v>-</v>
      </c>
      <c r="C118" s="140" t="str">
        <f>IF(ISNUMBER(A118),IF(O118=O119,IF(B118&lt;=B119,A118,"-"),IF(O117=O118,IF(B117&gt;B118,A118,"-"),A118)),"-")</f>
        <v>-</v>
      </c>
      <c r="D118" s="142">
        <v>1</v>
      </c>
      <c r="E118" s="143" t="s">
        <v>163</v>
      </c>
      <c r="F118" s="143" t="s">
        <v>164</v>
      </c>
      <c r="G118" s="144"/>
      <c r="H118" s="9">
        <v>2.4</v>
      </c>
      <c r="I118" s="9">
        <v>4.8</v>
      </c>
      <c r="L118" s="9">
        <v>345</v>
      </c>
      <c r="M118" s="9">
        <v>420</v>
      </c>
      <c r="N118" s="143" t="s">
        <v>165</v>
      </c>
      <c r="O118" s="146" t="s">
        <v>398</v>
      </c>
      <c r="Q118" s="147">
        <f t="shared" ref="Q118:Q124" si="20">FUВес</f>
        <v>7.2477999999999998</v>
      </c>
      <c r="R118" s="140">
        <f t="shared" ref="R118:R124" si="21">FUВысота</f>
        <v>550</v>
      </c>
    </row>
    <row r="119" spans="1:24">
      <c r="A119" s="140" t="str">
        <f t="shared" si="18"/>
        <v>-</v>
      </c>
      <c r="B119" s="141" t="str">
        <f t="shared" si="19"/>
        <v>-</v>
      </c>
      <c r="C119" s="140" t="str">
        <f t="shared" ref="C119:C124" si="22">IF(ISNUMBER(A119),IF(O119=O120,IF(B119&lt;=B120,A119,"-"),IF(O118=O119,IF(B118&gt;B119,A119,"-"),A119)),"-")</f>
        <v>-</v>
      </c>
      <c r="D119" s="142">
        <v>2</v>
      </c>
      <c r="E119" s="143" t="s">
        <v>166</v>
      </c>
      <c r="F119" s="143" t="s">
        <v>167</v>
      </c>
      <c r="G119" s="144"/>
      <c r="H119" s="9">
        <v>4.0999999999999996</v>
      </c>
      <c r="I119" s="9">
        <v>8</v>
      </c>
      <c r="L119" s="9">
        <v>345</v>
      </c>
      <c r="M119" s="9">
        <v>420</v>
      </c>
      <c r="N119" s="143" t="s">
        <v>168</v>
      </c>
      <c r="O119" s="146" t="s">
        <v>398</v>
      </c>
      <c r="Q119" s="147">
        <f t="shared" si="20"/>
        <v>7.2477999999999998</v>
      </c>
      <c r="R119" s="140">
        <f t="shared" si="21"/>
        <v>550</v>
      </c>
    </row>
    <row r="120" spans="1:24">
      <c r="A120" s="140" t="str">
        <f t="shared" si="18"/>
        <v>-</v>
      </c>
      <c r="B120" s="141" t="str">
        <f t="shared" si="19"/>
        <v>-</v>
      </c>
      <c r="C120" s="140" t="str">
        <f t="shared" si="22"/>
        <v>-</v>
      </c>
      <c r="D120" s="142">
        <v>3</v>
      </c>
      <c r="E120" s="143" t="s">
        <v>169</v>
      </c>
      <c r="F120" s="143" t="s">
        <v>170</v>
      </c>
      <c r="G120" s="144"/>
      <c r="H120" s="9">
        <v>3.4</v>
      </c>
      <c r="I120" s="9">
        <v>6.7</v>
      </c>
      <c r="L120" s="9">
        <v>380</v>
      </c>
      <c r="M120" s="9">
        <v>500</v>
      </c>
      <c r="N120" s="143" t="s">
        <v>171</v>
      </c>
      <c r="O120" s="148" t="s">
        <v>225</v>
      </c>
      <c r="Q120" s="147">
        <f t="shared" si="20"/>
        <v>7.2477999999999998</v>
      </c>
      <c r="R120" s="140">
        <f t="shared" si="21"/>
        <v>550</v>
      </c>
      <c r="X120" s="140"/>
    </row>
    <row r="121" spans="1:24">
      <c r="A121" s="140" t="str">
        <f t="shared" si="18"/>
        <v>-</v>
      </c>
      <c r="B121" s="141" t="str">
        <f t="shared" si="19"/>
        <v>-</v>
      </c>
      <c r="C121" s="140" t="str">
        <f t="shared" si="22"/>
        <v>-</v>
      </c>
      <c r="D121" s="142">
        <v>4</v>
      </c>
      <c r="E121" s="143" t="s">
        <v>172</v>
      </c>
      <c r="F121" s="143" t="s">
        <v>173</v>
      </c>
      <c r="G121" s="144"/>
      <c r="H121" s="9">
        <v>6.3</v>
      </c>
      <c r="I121" s="9">
        <v>11.8</v>
      </c>
      <c r="L121" s="9">
        <v>380</v>
      </c>
      <c r="M121" s="9">
        <v>500</v>
      </c>
      <c r="N121" s="143" t="s">
        <v>174</v>
      </c>
      <c r="O121" s="148" t="s">
        <v>225</v>
      </c>
      <c r="Q121" s="147">
        <f t="shared" si="20"/>
        <v>7.2477999999999998</v>
      </c>
      <c r="R121" s="140">
        <f t="shared" si="21"/>
        <v>550</v>
      </c>
      <c r="X121" s="140"/>
    </row>
    <row r="122" spans="1:24">
      <c r="A122" s="140" t="str">
        <f t="shared" si="18"/>
        <v>-</v>
      </c>
      <c r="B122" s="141" t="str">
        <f t="shared" si="19"/>
        <v>-</v>
      </c>
      <c r="C122" s="140" t="str">
        <f t="shared" si="22"/>
        <v>-</v>
      </c>
      <c r="D122" s="142">
        <v>5</v>
      </c>
      <c r="E122" s="143" t="s">
        <v>37</v>
      </c>
      <c r="F122" s="143" t="s">
        <v>38</v>
      </c>
      <c r="G122" s="144"/>
      <c r="H122" s="9">
        <v>2.6</v>
      </c>
      <c r="I122" s="9">
        <v>5.5</v>
      </c>
      <c r="L122" s="9">
        <v>430</v>
      </c>
      <c r="M122" s="9">
        <v>600</v>
      </c>
      <c r="N122" s="143" t="s">
        <v>175</v>
      </c>
      <c r="O122" s="148" t="s">
        <v>226</v>
      </c>
      <c r="Q122" s="147">
        <f t="shared" si="20"/>
        <v>7.2477999999999998</v>
      </c>
      <c r="R122" s="140">
        <f t="shared" si="21"/>
        <v>550</v>
      </c>
      <c r="X122" s="140"/>
    </row>
    <row r="123" spans="1:24">
      <c r="A123" s="140">
        <f t="shared" si="18"/>
        <v>6</v>
      </c>
      <c r="B123" s="141">
        <f t="shared" si="19"/>
        <v>4.3489361702127582E-2</v>
      </c>
      <c r="C123" s="140">
        <f t="shared" si="22"/>
        <v>6</v>
      </c>
      <c r="D123" s="164">
        <v>6</v>
      </c>
      <c r="E123" s="149" t="s">
        <v>176</v>
      </c>
      <c r="F123" s="149" t="s">
        <v>177</v>
      </c>
      <c r="G123" s="150"/>
      <c r="H123" s="9">
        <v>5</v>
      </c>
      <c r="I123" s="9">
        <v>9.6999999999999993</v>
      </c>
      <c r="L123" s="9">
        <v>430</v>
      </c>
      <c r="M123" s="9">
        <v>600</v>
      </c>
      <c r="N123" s="143" t="s">
        <v>178</v>
      </c>
      <c r="O123" s="148" t="s">
        <v>226</v>
      </c>
      <c r="Q123" s="147">
        <f t="shared" si="20"/>
        <v>7.2477999999999998</v>
      </c>
      <c r="R123" s="140">
        <f t="shared" si="21"/>
        <v>550</v>
      </c>
      <c r="X123" s="140"/>
    </row>
    <row r="124" spans="1:24">
      <c r="A124" s="140">
        <f t="shared" si="18"/>
        <v>7</v>
      </c>
      <c r="B124" s="141">
        <f t="shared" si="19"/>
        <v>0.98550439999999995</v>
      </c>
      <c r="C124" s="140">
        <f t="shared" si="22"/>
        <v>7</v>
      </c>
      <c r="D124" s="164">
        <v>7</v>
      </c>
      <c r="E124" s="149" t="s">
        <v>342</v>
      </c>
      <c r="F124" s="149" t="s">
        <v>342</v>
      </c>
      <c r="G124" s="150"/>
      <c r="H124" s="9">
        <v>0</v>
      </c>
      <c r="I124" s="9">
        <v>1000</v>
      </c>
      <c r="L124" s="9">
        <v>0</v>
      </c>
      <c r="M124" s="9">
        <v>2000</v>
      </c>
      <c r="N124" s="143" t="s">
        <v>379</v>
      </c>
      <c r="O124" s="146" t="s">
        <v>399</v>
      </c>
      <c r="Q124" s="147">
        <f t="shared" si="20"/>
        <v>7.2477999999999998</v>
      </c>
      <c r="R124" s="140">
        <f t="shared" si="21"/>
        <v>550</v>
      </c>
      <c r="X124" s="140"/>
    </row>
    <row r="125" spans="1:24">
      <c r="A125" s="140"/>
      <c r="B125" s="140"/>
      <c r="C125" s="140"/>
      <c r="D125" s="154"/>
      <c r="E125" s="149"/>
      <c r="F125" s="149"/>
      <c r="G125" s="150"/>
      <c r="N125" s="146"/>
      <c r="O125" s="153"/>
      <c r="Q125" s="147"/>
      <c r="R125" s="140"/>
      <c r="X125" s="140"/>
    </row>
    <row r="127" spans="1:24">
      <c r="A127" s="140"/>
      <c r="B127" s="140"/>
      <c r="C127" s="140"/>
      <c r="D127" s="128"/>
      <c r="E127" s="129" t="s">
        <v>48</v>
      </c>
      <c r="F127" s="128" t="s">
        <v>380</v>
      </c>
      <c r="G127" s="149"/>
      <c r="H127" s="131" t="s">
        <v>85</v>
      </c>
      <c r="I127" s="132">
        <f>FreeFlapH1.5!M5</f>
        <v>4.4775999999999998</v>
      </c>
      <c r="J127" s="132"/>
      <c r="K127" s="132"/>
      <c r="L127" s="131" t="s">
        <v>141</v>
      </c>
      <c r="M127" s="132">
        <f>FreeFlapH1.5!I5</f>
        <v>600</v>
      </c>
      <c r="N127" s="131" t="s">
        <v>218</v>
      </c>
      <c r="O127" s="132">
        <f>FreeFlapH1.5!I3</f>
        <v>600</v>
      </c>
    </row>
    <row r="128" spans="1:24">
      <c r="A128" s="140">
        <v>1</v>
      </c>
      <c r="B128" s="140">
        <v>2</v>
      </c>
      <c r="C128" s="140"/>
      <c r="D128" s="137" t="s">
        <v>0</v>
      </c>
      <c r="E128" s="137" t="s">
        <v>370</v>
      </c>
      <c r="F128" s="137" t="s">
        <v>371</v>
      </c>
      <c r="G128" s="137" t="s">
        <v>383</v>
      </c>
      <c r="H128" s="138" t="s">
        <v>366</v>
      </c>
      <c r="I128" s="138" t="s">
        <v>367</v>
      </c>
      <c r="J128" s="138" t="s">
        <v>381</v>
      </c>
      <c r="K128" s="138" t="s">
        <v>382</v>
      </c>
      <c r="L128" s="138" t="s">
        <v>368</v>
      </c>
      <c r="M128" s="138" t="s">
        <v>369</v>
      </c>
      <c r="N128" s="138" t="s">
        <v>88</v>
      </c>
      <c r="O128" s="138" t="s">
        <v>89</v>
      </c>
      <c r="P128" s="138" t="s">
        <v>122</v>
      </c>
      <c r="Q128" s="138" t="s">
        <v>85</v>
      </c>
      <c r="R128" s="138" t="s">
        <v>141</v>
      </c>
    </row>
    <row r="129" spans="1:24">
      <c r="A129" s="140" t="str">
        <f>CONCATENATE($F127,"Маркер",A128)</f>
        <v>FFLH15Маркер1</v>
      </c>
      <c r="B129" s="140" t="str">
        <f>CONCATENATE($F127,"Маркер",B128)</f>
        <v>FFLH15Маркер2</v>
      </c>
      <c r="C129" s="140"/>
      <c r="D129" s="137" t="str">
        <f t="shared" ref="D129:I129" si="23">CONCATENATE($F127,D128)</f>
        <v>FFLH15№</v>
      </c>
      <c r="E129" s="137" t="str">
        <f t="shared" si="23"/>
        <v>FFLH15АртикулП</v>
      </c>
      <c r="F129" s="137" t="str">
        <f t="shared" si="23"/>
        <v>FFLH15АртикулЛ</v>
      </c>
      <c r="G129" s="137" t="str">
        <f t="shared" si="23"/>
        <v>FFLH15КолвоM</v>
      </c>
      <c r="H129" s="137" t="str">
        <f t="shared" si="23"/>
        <v>FFLH15ВеСот</v>
      </c>
      <c r="I129" s="137" t="str">
        <f t="shared" si="23"/>
        <v>FFLH15ВеСдо</v>
      </c>
      <c r="J129" s="137" t="str">
        <f>CONCATENATE($F127,J128)</f>
        <v>FFLH15ВеСот2</v>
      </c>
      <c r="K129" s="137" t="str">
        <f>CONCATENATE($F127,K128)</f>
        <v>FFLH15ВеСдо2</v>
      </c>
      <c r="L129" s="137" t="str">
        <f>CONCATENATE($F127,L128)</f>
        <v>FFLH15ВыСот</v>
      </c>
      <c r="M129" s="137" t="str">
        <f>CONCATENATE($F127,M128)</f>
        <v>FFLH15ВыСдо</v>
      </c>
      <c r="N129" s="137" t="str">
        <f>CONCATENATE($F127,N128)</f>
        <v>FFLH15механизм</v>
      </c>
      <c r="O129" s="139"/>
      <c r="P129" s="139"/>
      <c r="Q129" s="139"/>
      <c r="R129" s="139"/>
    </row>
    <row r="130" spans="1:24">
      <c r="A130" s="140" t="str">
        <f t="shared" ref="A130:A161" si="24">IF(AND(FFPH15Высота&gt;=FFLH15ВыСот,FFPH15Высота&lt;=FFLH15ВыСдо,FFPH15Вес&gt;=FFLH15ВеСот,FFPH15Вес&lt;=FFLH15ВеСдо),IF(FFLH15ВыСдо&lt;2000,FFLH15№,FFLH15№+2000),"-")</f>
        <v>-</v>
      </c>
      <c r="B130" s="140" t="str">
        <f t="shared" ref="B130:B161" si="25">IF(AND(FFPH15Высота&gt;=FFLH15ВыСот,FFPH15Высота&lt;=FFLH15ВыСдо,FFPH15Вес&gt;=FFLH15ВеСот2,FFPH15Вес&lt;=FFLH15ВеСдо2),IF(FFLH15ВыСдо&lt;2000,FFLH15№,FFLH15№+2000),IF(FFLH15ВыСдо&lt;2000,IF(AND(FFPH15Высота&gt;=FFLH15ВыСот,FFPH15Высота&lt;=FFLH15ВыСдо,FFPH15Вес&gt;=FFLH15ВеСот,FFPH15Вес&lt;=FFLH15ВеСдо2),FFLH15Маркер1,"-")))</f>
        <v>-</v>
      </c>
      <c r="C130" s="140" t="str">
        <f t="shared" ref="C130:C161" si="26">IF(FFLH15КолвоM=1,FFLH15Маркер1,FFLH15Маркер2)</f>
        <v>-</v>
      </c>
      <c r="D130" s="142">
        <v>1</v>
      </c>
      <c r="E130" s="143" t="s">
        <v>180</v>
      </c>
      <c r="F130" s="143" t="s">
        <v>181</v>
      </c>
      <c r="G130" s="143">
        <f t="shared" ref="G130:G154" si="27">IF(FFPH15Ширина&lt;=600,IF(SMALL(FFLH15_Колво_110_1,1)&lt;2000,1,2),IF(AND(FFPH15Высота&lt;=FFНастройкиВысота,FFPH15Ширина&lt;=FFНастройкиШирина),1,2))</f>
        <v>2</v>
      </c>
      <c r="H130" s="9">
        <v>1.9</v>
      </c>
      <c r="I130" s="9">
        <v>2.8</v>
      </c>
      <c r="J130" s="9">
        <v>3.8</v>
      </c>
      <c r="K130" s="9">
        <v>5.6</v>
      </c>
      <c r="L130" s="9">
        <v>275</v>
      </c>
      <c r="M130" s="9">
        <v>275</v>
      </c>
      <c r="N130" s="165" t="s">
        <v>127</v>
      </c>
      <c r="O130" s="153">
        <v>110</v>
      </c>
      <c r="Q130" s="147">
        <f t="shared" ref="Q130:Q161" si="28">FFPH15Вес</f>
        <v>4.4775999999999998</v>
      </c>
      <c r="R130" s="140">
        <f t="shared" ref="R130:R161" si="29">FFPH15Высота</f>
        <v>600</v>
      </c>
    </row>
    <row r="131" spans="1:24">
      <c r="A131" s="140" t="str">
        <f t="shared" si="24"/>
        <v>-</v>
      </c>
      <c r="B131" s="140" t="str">
        <f t="shared" si="25"/>
        <v>-</v>
      </c>
      <c r="C131" s="140" t="str">
        <f t="shared" si="26"/>
        <v>-</v>
      </c>
      <c r="D131" s="142">
        <f>D130+1</f>
        <v>2</v>
      </c>
      <c r="E131" s="143" t="s">
        <v>180</v>
      </c>
      <c r="F131" s="143" t="s">
        <v>181</v>
      </c>
      <c r="G131" s="143">
        <f t="shared" si="27"/>
        <v>2</v>
      </c>
      <c r="H131" s="9">
        <v>1.1000000000000001</v>
      </c>
      <c r="I131" s="9">
        <v>2.4</v>
      </c>
      <c r="J131" s="9">
        <v>2.2000000000000002</v>
      </c>
      <c r="K131" s="9">
        <v>4.8</v>
      </c>
      <c r="L131" s="9">
        <v>275</v>
      </c>
      <c r="M131" s="9">
        <v>300</v>
      </c>
      <c r="N131" s="165" t="s">
        <v>127</v>
      </c>
      <c r="O131" s="153">
        <v>110</v>
      </c>
      <c r="Q131" s="147">
        <f t="shared" si="28"/>
        <v>4.4775999999999998</v>
      </c>
      <c r="R131" s="140">
        <f t="shared" si="29"/>
        <v>600</v>
      </c>
    </row>
    <row r="132" spans="1:24">
      <c r="A132" s="140" t="str">
        <f t="shared" si="24"/>
        <v>-</v>
      </c>
      <c r="B132" s="140" t="str">
        <f t="shared" si="25"/>
        <v>-</v>
      </c>
      <c r="C132" s="140" t="str">
        <f t="shared" si="26"/>
        <v>-</v>
      </c>
      <c r="D132" s="142">
        <f t="shared" ref="D132:D170" si="30">D131+1</f>
        <v>3</v>
      </c>
      <c r="E132" s="143" t="s">
        <v>180</v>
      </c>
      <c r="F132" s="143" t="s">
        <v>181</v>
      </c>
      <c r="G132" s="143">
        <f t="shared" si="27"/>
        <v>2</v>
      </c>
      <c r="H132" s="9">
        <v>1.1000000000000001</v>
      </c>
      <c r="I132" s="9">
        <v>2.1</v>
      </c>
      <c r="J132" s="9">
        <v>2.2000000000000002</v>
      </c>
      <c r="K132" s="9">
        <v>4.2</v>
      </c>
      <c r="L132" s="9">
        <v>300</v>
      </c>
      <c r="M132" s="9">
        <v>350</v>
      </c>
      <c r="N132" s="165" t="s">
        <v>127</v>
      </c>
      <c r="O132" s="153">
        <v>110</v>
      </c>
      <c r="Q132" s="147">
        <f t="shared" si="28"/>
        <v>4.4775999999999998</v>
      </c>
      <c r="R132" s="140">
        <f t="shared" si="29"/>
        <v>600</v>
      </c>
      <c r="X132" s="140"/>
    </row>
    <row r="133" spans="1:24">
      <c r="A133" s="140" t="str">
        <f t="shared" si="24"/>
        <v>-</v>
      </c>
      <c r="B133" s="140" t="str">
        <f t="shared" si="25"/>
        <v>-</v>
      </c>
      <c r="C133" s="140" t="str">
        <f t="shared" si="26"/>
        <v>-</v>
      </c>
      <c r="D133" s="142">
        <f t="shared" si="30"/>
        <v>4</v>
      </c>
      <c r="E133" s="143" t="s">
        <v>180</v>
      </c>
      <c r="F133" s="143" t="s">
        <v>181</v>
      </c>
      <c r="G133" s="143">
        <f t="shared" si="27"/>
        <v>2</v>
      </c>
      <c r="H133" s="9">
        <v>1.1000000000000001</v>
      </c>
      <c r="I133" s="9">
        <v>1.7</v>
      </c>
      <c r="J133" s="9">
        <v>2.2000000000000002</v>
      </c>
      <c r="K133" s="9">
        <v>3.4</v>
      </c>
      <c r="L133" s="9">
        <v>350</v>
      </c>
      <c r="M133" s="9">
        <v>400</v>
      </c>
      <c r="N133" s="165" t="s">
        <v>127</v>
      </c>
      <c r="O133" s="153">
        <v>110</v>
      </c>
      <c r="Q133" s="147">
        <f t="shared" si="28"/>
        <v>4.4775999999999998</v>
      </c>
      <c r="R133" s="140">
        <f t="shared" si="29"/>
        <v>600</v>
      </c>
      <c r="X133" s="140"/>
    </row>
    <row r="134" spans="1:24">
      <c r="A134" s="140" t="str">
        <f t="shared" si="24"/>
        <v>-</v>
      </c>
      <c r="B134" s="140" t="str">
        <f t="shared" si="25"/>
        <v>-</v>
      </c>
      <c r="C134" s="140" t="str">
        <f t="shared" si="26"/>
        <v>-</v>
      </c>
      <c r="D134" s="142">
        <f t="shared" si="30"/>
        <v>5</v>
      </c>
      <c r="E134" s="143" t="s">
        <v>180</v>
      </c>
      <c r="F134" s="143" t="s">
        <v>181</v>
      </c>
      <c r="G134" s="143">
        <f t="shared" si="27"/>
        <v>2</v>
      </c>
      <c r="H134" s="9">
        <v>1</v>
      </c>
      <c r="I134" s="9">
        <v>1.6</v>
      </c>
      <c r="J134" s="9">
        <v>2</v>
      </c>
      <c r="K134" s="9">
        <v>3.2</v>
      </c>
      <c r="L134" s="9">
        <v>400</v>
      </c>
      <c r="M134" s="9">
        <v>450</v>
      </c>
      <c r="N134" s="165" t="s">
        <v>127</v>
      </c>
      <c r="O134" s="153">
        <v>110</v>
      </c>
      <c r="Q134" s="147">
        <f t="shared" si="28"/>
        <v>4.4775999999999998</v>
      </c>
      <c r="R134" s="140">
        <f t="shared" si="29"/>
        <v>600</v>
      </c>
      <c r="X134" s="140"/>
    </row>
    <row r="135" spans="1:24">
      <c r="A135" s="140" t="str">
        <f t="shared" si="24"/>
        <v>-</v>
      </c>
      <c r="B135" s="140" t="str">
        <f t="shared" si="25"/>
        <v>-</v>
      </c>
      <c r="C135" s="140" t="str">
        <f t="shared" si="26"/>
        <v>-</v>
      </c>
      <c r="D135" s="142">
        <f t="shared" si="30"/>
        <v>6</v>
      </c>
      <c r="E135" s="143" t="s">
        <v>180</v>
      </c>
      <c r="F135" s="143" t="s">
        <v>181</v>
      </c>
      <c r="G135" s="143">
        <f t="shared" si="27"/>
        <v>2</v>
      </c>
      <c r="H135" s="9">
        <v>1</v>
      </c>
      <c r="I135" s="9">
        <v>1.4</v>
      </c>
      <c r="J135" s="9">
        <v>2</v>
      </c>
      <c r="K135" s="9">
        <v>2.8</v>
      </c>
      <c r="L135" s="9">
        <v>450</v>
      </c>
      <c r="M135" s="9">
        <v>500</v>
      </c>
      <c r="N135" s="165" t="s">
        <v>127</v>
      </c>
      <c r="O135" s="153">
        <v>110</v>
      </c>
      <c r="Q135" s="147">
        <f t="shared" si="28"/>
        <v>4.4775999999999998</v>
      </c>
      <c r="R135" s="140">
        <f t="shared" si="29"/>
        <v>600</v>
      </c>
      <c r="X135" s="140"/>
    </row>
    <row r="136" spans="1:24">
      <c r="A136" s="140" t="str">
        <f t="shared" si="24"/>
        <v>-</v>
      </c>
      <c r="B136" s="140" t="str">
        <f t="shared" si="25"/>
        <v>-</v>
      </c>
      <c r="C136" s="140" t="str">
        <f t="shared" si="26"/>
        <v>-</v>
      </c>
      <c r="D136" s="142">
        <f t="shared" si="30"/>
        <v>7</v>
      </c>
      <c r="E136" s="143" t="s">
        <v>180</v>
      </c>
      <c r="F136" s="143" t="s">
        <v>181</v>
      </c>
      <c r="G136" s="143">
        <f t="shared" si="27"/>
        <v>2</v>
      </c>
      <c r="H136" s="9">
        <v>0.8</v>
      </c>
      <c r="I136" s="9">
        <v>1.3</v>
      </c>
      <c r="J136" s="9">
        <v>1.6</v>
      </c>
      <c r="K136" s="9">
        <v>2.6</v>
      </c>
      <c r="L136" s="9">
        <v>500</v>
      </c>
      <c r="M136" s="9">
        <v>550</v>
      </c>
      <c r="N136" s="165" t="s">
        <v>127</v>
      </c>
      <c r="O136" s="153">
        <v>110</v>
      </c>
      <c r="Q136" s="147">
        <f t="shared" si="28"/>
        <v>4.4775999999999998</v>
      </c>
      <c r="R136" s="140">
        <f t="shared" si="29"/>
        <v>600</v>
      </c>
      <c r="X136" s="140"/>
    </row>
    <row r="137" spans="1:24">
      <c r="A137" s="140" t="str">
        <f t="shared" si="24"/>
        <v>-</v>
      </c>
      <c r="B137" s="140" t="str">
        <f t="shared" si="25"/>
        <v>-</v>
      </c>
      <c r="C137" s="140" t="str">
        <f t="shared" si="26"/>
        <v>-</v>
      </c>
      <c r="D137" s="142">
        <f t="shared" si="30"/>
        <v>8</v>
      </c>
      <c r="E137" s="143" t="s">
        <v>180</v>
      </c>
      <c r="F137" s="143" t="s">
        <v>181</v>
      </c>
      <c r="G137" s="143">
        <f t="shared" si="27"/>
        <v>2</v>
      </c>
      <c r="H137" s="9">
        <v>0.7</v>
      </c>
      <c r="I137" s="9">
        <v>1.2</v>
      </c>
      <c r="J137" s="9">
        <v>1.4</v>
      </c>
      <c r="K137" s="9">
        <v>2.4</v>
      </c>
      <c r="L137" s="9">
        <v>550</v>
      </c>
      <c r="M137" s="9">
        <v>600</v>
      </c>
      <c r="N137" s="165" t="s">
        <v>127</v>
      </c>
      <c r="O137" s="153">
        <v>110</v>
      </c>
      <c r="Q137" s="147">
        <f t="shared" si="28"/>
        <v>4.4775999999999998</v>
      </c>
      <c r="R137" s="140">
        <f t="shared" si="29"/>
        <v>600</v>
      </c>
      <c r="X137" s="140"/>
    </row>
    <row r="138" spans="1:24">
      <c r="A138" s="140" t="str">
        <f t="shared" si="24"/>
        <v>-</v>
      </c>
      <c r="B138" s="140" t="str">
        <f t="shared" si="25"/>
        <v>-</v>
      </c>
      <c r="C138" s="140" t="str">
        <f t="shared" si="26"/>
        <v>-</v>
      </c>
      <c r="D138" s="142">
        <f t="shared" si="30"/>
        <v>9</v>
      </c>
      <c r="E138" s="143" t="s">
        <v>182</v>
      </c>
      <c r="F138" s="143" t="s">
        <v>183</v>
      </c>
      <c r="G138" s="143">
        <f t="shared" si="27"/>
        <v>2</v>
      </c>
      <c r="H138" s="9">
        <v>2.6</v>
      </c>
      <c r="I138" s="9">
        <v>4.3</v>
      </c>
      <c r="J138" s="9">
        <v>5.2</v>
      </c>
      <c r="K138" s="9">
        <v>8.6</v>
      </c>
      <c r="L138" s="9">
        <v>275</v>
      </c>
      <c r="M138" s="9">
        <v>275</v>
      </c>
      <c r="N138" s="165" t="s">
        <v>128</v>
      </c>
      <c r="O138" s="153">
        <v>110</v>
      </c>
      <c r="Q138" s="147">
        <f t="shared" si="28"/>
        <v>4.4775999999999998</v>
      </c>
      <c r="R138" s="140">
        <f t="shared" si="29"/>
        <v>600</v>
      </c>
      <c r="X138" s="140"/>
    </row>
    <row r="139" spans="1:24">
      <c r="A139" s="140" t="str">
        <f t="shared" si="24"/>
        <v>-</v>
      </c>
      <c r="B139" s="140" t="str">
        <f t="shared" si="25"/>
        <v>-</v>
      </c>
      <c r="C139" s="140" t="str">
        <f t="shared" si="26"/>
        <v>-</v>
      </c>
      <c r="D139" s="142">
        <f t="shared" si="30"/>
        <v>10</v>
      </c>
      <c r="E139" s="143" t="s">
        <v>182</v>
      </c>
      <c r="F139" s="143" t="s">
        <v>183</v>
      </c>
      <c r="G139" s="143">
        <f t="shared" si="27"/>
        <v>2</v>
      </c>
      <c r="H139" s="9">
        <v>2.4</v>
      </c>
      <c r="I139" s="9">
        <v>4.0999999999999996</v>
      </c>
      <c r="J139" s="9">
        <v>4.8</v>
      </c>
      <c r="K139" s="9">
        <v>8.1999999999999993</v>
      </c>
      <c r="L139" s="9">
        <v>275</v>
      </c>
      <c r="M139" s="9">
        <v>300</v>
      </c>
      <c r="N139" s="165" t="s">
        <v>128</v>
      </c>
      <c r="O139" s="153">
        <v>110</v>
      </c>
      <c r="Q139" s="147">
        <f t="shared" si="28"/>
        <v>4.4775999999999998</v>
      </c>
      <c r="R139" s="140">
        <f t="shared" si="29"/>
        <v>600</v>
      </c>
      <c r="X139" s="140"/>
    </row>
    <row r="140" spans="1:24">
      <c r="A140" s="140" t="str">
        <f t="shared" si="24"/>
        <v>-</v>
      </c>
      <c r="B140" s="140" t="str">
        <f t="shared" si="25"/>
        <v>-</v>
      </c>
      <c r="C140" s="140" t="str">
        <f t="shared" si="26"/>
        <v>-</v>
      </c>
      <c r="D140" s="142">
        <f t="shared" si="30"/>
        <v>11</v>
      </c>
      <c r="E140" s="143" t="s">
        <v>182</v>
      </c>
      <c r="F140" s="143" t="s">
        <v>183</v>
      </c>
      <c r="G140" s="143">
        <f t="shared" si="27"/>
        <v>2</v>
      </c>
      <c r="H140" s="9">
        <v>2.1</v>
      </c>
      <c r="I140" s="9">
        <v>3.7</v>
      </c>
      <c r="J140" s="9">
        <v>4.2</v>
      </c>
      <c r="K140" s="9">
        <v>7.4</v>
      </c>
      <c r="L140" s="9">
        <v>300</v>
      </c>
      <c r="M140" s="9">
        <v>350</v>
      </c>
      <c r="N140" s="165" t="s">
        <v>128</v>
      </c>
      <c r="O140" s="153">
        <v>110</v>
      </c>
      <c r="Q140" s="147">
        <f t="shared" si="28"/>
        <v>4.4775999999999998</v>
      </c>
      <c r="R140" s="140">
        <f t="shared" si="29"/>
        <v>600</v>
      </c>
      <c r="X140" s="140"/>
    </row>
    <row r="141" spans="1:24">
      <c r="A141" s="140" t="str">
        <f t="shared" si="24"/>
        <v>-</v>
      </c>
      <c r="B141" s="140" t="str">
        <f t="shared" si="25"/>
        <v>-</v>
      </c>
      <c r="C141" s="140" t="str">
        <f t="shared" si="26"/>
        <v>-</v>
      </c>
      <c r="D141" s="142">
        <f t="shared" si="30"/>
        <v>12</v>
      </c>
      <c r="E141" s="143" t="s">
        <v>182</v>
      </c>
      <c r="F141" s="143" t="s">
        <v>183</v>
      </c>
      <c r="G141" s="143">
        <f t="shared" si="27"/>
        <v>2</v>
      </c>
      <c r="H141" s="9">
        <v>1.7</v>
      </c>
      <c r="I141" s="9">
        <v>3.2</v>
      </c>
      <c r="J141" s="9">
        <v>3.4</v>
      </c>
      <c r="K141" s="9">
        <v>6.4</v>
      </c>
      <c r="L141" s="9">
        <v>350</v>
      </c>
      <c r="M141" s="9">
        <v>400</v>
      </c>
      <c r="N141" s="165" t="s">
        <v>128</v>
      </c>
      <c r="O141" s="153">
        <v>110</v>
      </c>
      <c r="Q141" s="147">
        <f t="shared" si="28"/>
        <v>4.4775999999999998</v>
      </c>
      <c r="R141" s="140">
        <f t="shared" si="29"/>
        <v>600</v>
      </c>
      <c r="X141" s="140"/>
    </row>
    <row r="142" spans="1:24">
      <c r="A142" s="140" t="str">
        <f t="shared" si="24"/>
        <v>-</v>
      </c>
      <c r="B142" s="140" t="str">
        <f t="shared" si="25"/>
        <v>-</v>
      </c>
      <c r="C142" s="140" t="str">
        <f t="shared" si="26"/>
        <v>-</v>
      </c>
      <c r="D142" s="142">
        <f t="shared" si="30"/>
        <v>13</v>
      </c>
      <c r="E142" s="143" t="s">
        <v>182</v>
      </c>
      <c r="F142" s="143" t="s">
        <v>183</v>
      </c>
      <c r="G142" s="143">
        <f t="shared" si="27"/>
        <v>2</v>
      </c>
      <c r="H142" s="9">
        <v>1.6</v>
      </c>
      <c r="I142" s="9">
        <v>2.8</v>
      </c>
      <c r="J142" s="9">
        <v>3.2</v>
      </c>
      <c r="K142" s="9">
        <v>5.6</v>
      </c>
      <c r="L142" s="9">
        <v>400</v>
      </c>
      <c r="M142" s="9">
        <v>450</v>
      </c>
      <c r="N142" s="165" t="s">
        <v>128</v>
      </c>
      <c r="O142" s="153">
        <v>110</v>
      </c>
      <c r="Q142" s="147">
        <f t="shared" si="28"/>
        <v>4.4775999999999998</v>
      </c>
      <c r="R142" s="140">
        <f t="shared" si="29"/>
        <v>600</v>
      </c>
      <c r="X142" s="140"/>
    </row>
    <row r="143" spans="1:24">
      <c r="A143" s="140" t="str">
        <f t="shared" si="24"/>
        <v>-</v>
      </c>
      <c r="B143" s="140" t="str">
        <f t="shared" si="25"/>
        <v>-</v>
      </c>
      <c r="C143" s="140" t="str">
        <f t="shared" si="26"/>
        <v>-</v>
      </c>
      <c r="D143" s="142">
        <f t="shared" si="30"/>
        <v>14</v>
      </c>
      <c r="E143" s="143" t="s">
        <v>182</v>
      </c>
      <c r="F143" s="143" t="s">
        <v>183</v>
      </c>
      <c r="G143" s="143">
        <f t="shared" si="27"/>
        <v>2</v>
      </c>
      <c r="H143" s="9">
        <v>1.3</v>
      </c>
      <c r="I143" s="9">
        <v>2.5</v>
      </c>
      <c r="J143" s="9">
        <v>2.6</v>
      </c>
      <c r="K143" s="9">
        <v>5</v>
      </c>
      <c r="L143" s="9">
        <v>450</v>
      </c>
      <c r="M143" s="9">
        <v>500</v>
      </c>
      <c r="N143" s="165" t="s">
        <v>128</v>
      </c>
      <c r="O143" s="153">
        <v>110</v>
      </c>
      <c r="Q143" s="147">
        <f t="shared" si="28"/>
        <v>4.4775999999999998</v>
      </c>
      <c r="R143" s="140">
        <f t="shared" si="29"/>
        <v>600</v>
      </c>
      <c r="X143" s="140"/>
    </row>
    <row r="144" spans="1:24">
      <c r="A144" s="140" t="str">
        <f t="shared" si="24"/>
        <v>-</v>
      </c>
      <c r="B144" s="140" t="str">
        <f t="shared" si="25"/>
        <v>-</v>
      </c>
      <c r="C144" s="140" t="str">
        <f t="shared" si="26"/>
        <v>-</v>
      </c>
      <c r="D144" s="142">
        <f t="shared" si="30"/>
        <v>15</v>
      </c>
      <c r="E144" s="143" t="s">
        <v>182</v>
      </c>
      <c r="F144" s="143" t="s">
        <v>183</v>
      </c>
      <c r="G144" s="143">
        <f t="shared" si="27"/>
        <v>2</v>
      </c>
      <c r="H144" s="9">
        <v>1.3</v>
      </c>
      <c r="I144" s="9">
        <v>2.2000000000000002</v>
      </c>
      <c r="J144" s="9">
        <v>2.6</v>
      </c>
      <c r="K144" s="9">
        <v>4.4000000000000004</v>
      </c>
      <c r="L144" s="9">
        <v>500</v>
      </c>
      <c r="M144" s="9">
        <v>550</v>
      </c>
      <c r="N144" s="165" t="s">
        <v>128</v>
      </c>
      <c r="O144" s="153">
        <v>110</v>
      </c>
      <c r="Q144" s="147">
        <f t="shared" si="28"/>
        <v>4.4775999999999998</v>
      </c>
      <c r="R144" s="140">
        <f t="shared" si="29"/>
        <v>600</v>
      </c>
    </row>
    <row r="145" spans="1:24">
      <c r="A145" s="140" t="str">
        <f t="shared" si="24"/>
        <v>-</v>
      </c>
      <c r="B145" s="140" t="str">
        <f t="shared" si="25"/>
        <v>-</v>
      </c>
      <c r="C145" s="140" t="str">
        <f t="shared" si="26"/>
        <v>-</v>
      </c>
      <c r="D145" s="142">
        <f t="shared" si="30"/>
        <v>16</v>
      </c>
      <c r="E145" s="143" t="s">
        <v>182</v>
      </c>
      <c r="F145" s="143" t="s">
        <v>183</v>
      </c>
      <c r="G145" s="143">
        <f t="shared" si="27"/>
        <v>2</v>
      </c>
      <c r="H145" s="9">
        <v>1.2</v>
      </c>
      <c r="I145" s="9">
        <v>2.2000000000000002</v>
      </c>
      <c r="J145" s="9">
        <v>2.4</v>
      </c>
      <c r="K145" s="9">
        <v>4.4000000000000004</v>
      </c>
      <c r="L145" s="9">
        <v>550</v>
      </c>
      <c r="M145" s="9">
        <v>600</v>
      </c>
      <c r="N145" s="165" t="s">
        <v>128</v>
      </c>
      <c r="O145" s="153">
        <v>110</v>
      </c>
      <c r="Q145" s="147">
        <f t="shared" si="28"/>
        <v>4.4775999999999998</v>
      </c>
      <c r="R145" s="140">
        <f t="shared" si="29"/>
        <v>600</v>
      </c>
    </row>
    <row r="146" spans="1:24">
      <c r="A146" s="140" t="str">
        <f t="shared" si="24"/>
        <v>-</v>
      </c>
      <c r="B146" s="140" t="str">
        <f t="shared" si="25"/>
        <v>-</v>
      </c>
      <c r="C146" s="140" t="str">
        <f t="shared" si="26"/>
        <v>-</v>
      </c>
      <c r="D146" s="142">
        <f t="shared" si="30"/>
        <v>17</v>
      </c>
      <c r="E146" s="143" t="s">
        <v>184</v>
      </c>
      <c r="F146" s="143" t="s">
        <v>185</v>
      </c>
      <c r="G146" s="143">
        <f t="shared" si="27"/>
        <v>2</v>
      </c>
      <c r="H146" s="9">
        <v>4.2</v>
      </c>
      <c r="I146" s="9">
        <v>7.1</v>
      </c>
      <c r="J146" s="9">
        <v>8.4</v>
      </c>
      <c r="K146" s="9">
        <v>14.2</v>
      </c>
      <c r="L146" s="9">
        <v>275</v>
      </c>
      <c r="M146" s="9">
        <v>275</v>
      </c>
      <c r="N146" s="165" t="s">
        <v>131</v>
      </c>
      <c r="O146" s="153">
        <v>110</v>
      </c>
      <c r="Q146" s="147">
        <f t="shared" si="28"/>
        <v>4.4775999999999998</v>
      </c>
      <c r="R146" s="140">
        <f t="shared" si="29"/>
        <v>600</v>
      </c>
    </row>
    <row r="147" spans="1:24">
      <c r="A147" s="140" t="str">
        <f t="shared" si="24"/>
        <v>-</v>
      </c>
      <c r="B147" s="140" t="str">
        <f t="shared" si="25"/>
        <v>-</v>
      </c>
      <c r="C147" s="140" t="str">
        <f t="shared" si="26"/>
        <v>-</v>
      </c>
      <c r="D147" s="142">
        <f t="shared" si="30"/>
        <v>18</v>
      </c>
      <c r="E147" s="143" t="s">
        <v>184</v>
      </c>
      <c r="F147" s="143" t="s">
        <v>185</v>
      </c>
      <c r="G147" s="143">
        <f t="shared" si="27"/>
        <v>2</v>
      </c>
      <c r="H147" s="9">
        <v>4</v>
      </c>
      <c r="I147" s="9">
        <v>7</v>
      </c>
      <c r="J147" s="9">
        <v>8</v>
      </c>
      <c r="K147" s="9">
        <v>14</v>
      </c>
      <c r="L147" s="9">
        <v>275</v>
      </c>
      <c r="M147" s="9">
        <v>300</v>
      </c>
      <c r="N147" s="165" t="s">
        <v>131</v>
      </c>
      <c r="O147" s="153">
        <v>110</v>
      </c>
      <c r="Q147" s="147">
        <f t="shared" si="28"/>
        <v>4.4775999999999998</v>
      </c>
      <c r="R147" s="140">
        <f t="shared" si="29"/>
        <v>600</v>
      </c>
      <c r="X147" s="140"/>
    </row>
    <row r="148" spans="1:24">
      <c r="A148" s="140" t="str">
        <f t="shared" si="24"/>
        <v>-</v>
      </c>
      <c r="B148" s="140" t="str">
        <f t="shared" si="25"/>
        <v>-</v>
      </c>
      <c r="C148" s="140" t="str">
        <f t="shared" si="26"/>
        <v>-</v>
      </c>
      <c r="D148" s="142">
        <f t="shared" si="30"/>
        <v>19</v>
      </c>
      <c r="E148" s="143" t="s">
        <v>184</v>
      </c>
      <c r="F148" s="143" t="s">
        <v>185</v>
      </c>
      <c r="G148" s="143">
        <f t="shared" si="27"/>
        <v>2</v>
      </c>
      <c r="H148" s="9">
        <v>3.6</v>
      </c>
      <c r="I148" s="9">
        <v>6.4</v>
      </c>
      <c r="J148" s="9">
        <v>7.2</v>
      </c>
      <c r="K148" s="9">
        <v>12.8</v>
      </c>
      <c r="L148" s="9">
        <v>300</v>
      </c>
      <c r="M148" s="9">
        <v>350</v>
      </c>
      <c r="N148" s="165" t="s">
        <v>131</v>
      </c>
      <c r="O148" s="153">
        <v>110</v>
      </c>
      <c r="Q148" s="147">
        <f t="shared" si="28"/>
        <v>4.4775999999999998</v>
      </c>
      <c r="R148" s="140">
        <f t="shared" si="29"/>
        <v>600</v>
      </c>
      <c r="X148" s="140"/>
    </row>
    <row r="149" spans="1:24">
      <c r="A149" s="140" t="str">
        <f t="shared" si="24"/>
        <v>-</v>
      </c>
      <c r="B149" s="140" t="str">
        <f t="shared" si="25"/>
        <v>-</v>
      </c>
      <c r="C149" s="140" t="str">
        <f t="shared" si="26"/>
        <v>-</v>
      </c>
      <c r="D149" s="142">
        <f t="shared" si="30"/>
        <v>20</v>
      </c>
      <c r="E149" s="143" t="s">
        <v>184</v>
      </c>
      <c r="F149" s="143" t="s">
        <v>185</v>
      </c>
      <c r="G149" s="143">
        <f t="shared" si="27"/>
        <v>2</v>
      </c>
      <c r="H149" s="9">
        <v>3.2</v>
      </c>
      <c r="I149" s="9">
        <v>5.5</v>
      </c>
      <c r="J149" s="9">
        <v>6.4</v>
      </c>
      <c r="K149" s="9">
        <v>11</v>
      </c>
      <c r="L149" s="9">
        <v>350</v>
      </c>
      <c r="M149" s="9">
        <v>400</v>
      </c>
      <c r="N149" s="165" t="s">
        <v>131</v>
      </c>
      <c r="O149" s="153">
        <v>110</v>
      </c>
      <c r="Q149" s="147">
        <f t="shared" si="28"/>
        <v>4.4775999999999998</v>
      </c>
      <c r="R149" s="140">
        <f t="shared" si="29"/>
        <v>600</v>
      </c>
      <c r="X149" s="140"/>
    </row>
    <row r="150" spans="1:24">
      <c r="A150" s="140" t="str">
        <f t="shared" si="24"/>
        <v>-</v>
      </c>
      <c r="B150" s="140" t="str">
        <f t="shared" si="25"/>
        <v>-</v>
      </c>
      <c r="C150" s="140" t="str">
        <f t="shared" si="26"/>
        <v>-</v>
      </c>
      <c r="D150" s="142">
        <f t="shared" si="30"/>
        <v>21</v>
      </c>
      <c r="E150" s="143" t="s">
        <v>184</v>
      </c>
      <c r="F150" s="143" t="s">
        <v>185</v>
      </c>
      <c r="G150" s="143">
        <f t="shared" si="27"/>
        <v>2</v>
      </c>
      <c r="H150" s="9">
        <v>2.8</v>
      </c>
      <c r="I150" s="9">
        <v>5.5</v>
      </c>
      <c r="J150" s="9">
        <v>5.6</v>
      </c>
      <c r="K150" s="9">
        <v>11</v>
      </c>
      <c r="L150" s="9">
        <v>400</v>
      </c>
      <c r="M150" s="9">
        <v>450</v>
      </c>
      <c r="N150" s="165" t="s">
        <v>131</v>
      </c>
      <c r="O150" s="153">
        <v>110</v>
      </c>
      <c r="Q150" s="147">
        <f t="shared" si="28"/>
        <v>4.4775999999999998</v>
      </c>
      <c r="R150" s="140">
        <f t="shared" si="29"/>
        <v>600</v>
      </c>
      <c r="X150" s="140"/>
    </row>
    <row r="151" spans="1:24">
      <c r="A151" s="140" t="str">
        <f t="shared" si="24"/>
        <v>-</v>
      </c>
      <c r="B151" s="140" t="str">
        <f t="shared" si="25"/>
        <v>-</v>
      </c>
      <c r="C151" s="140" t="str">
        <f t="shared" si="26"/>
        <v>-</v>
      </c>
      <c r="D151" s="142">
        <f t="shared" si="30"/>
        <v>22</v>
      </c>
      <c r="E151" s="143" t="s">
        <v>184</v>
      </c>
      <c r="F151" s="143" t="s">
        <v>185</v>
      </c>
      <c r="G151" s="143">
        <f t="shared" si="27"/>
        <v>2</v>
      </c>
      <c r="H151" s="9">
        <v>2.5</v>
      </c>
      <c r="I151" s="9">
        <v>4.5</v>
      </c>
      <c r="J151" s="9">
        <v>5</v>
      </c>
      <c r="K151" s="9">
        <v>9</v>
      </c>
      <c r="L151" s="9">
        <v>450</v>
      </c>
      <c r="M151" s="9">
        <v>500</v>
      </c>
      <c r="N151" s="165" t="s">
        <v>131</v>
      </c>
      <c r="O151" s="153">
        <v>110</v>
      </c>
      <c r="Q151" s="147">
        <f t="shared" si="28"/>
        <v>4.4775999999999998</v>
      </c>
      <c r="R151" s="140">
        <f t="shared" si="29"/>
        <v>600</v>
      </c>
      <c r="X151" s="140"/>
    </row>
    <row r="152" spans="1:24">
      <c r="A152" s="140" t="str">
        <f t="shared" si="24"/>
        <v>-</v>
      </c>
      <c r="B152" s="140" t="str">
        <f t="shared" si="25"/>
        <v>-</v>
      </c>
      <c r="C152" s="140" t="str">
        <f t="shared" si="26"/>
        <v>-</v>
      </c>
      <c r="D152" s="142">
        <f t="shared" si="30"/>
        <v>23</v>
      </c>
      <c r="E152" s="143" t="s">
        <v>184</v>
      </c>
      <c r="F152" s="143" t="s">
        <v>185</v>
      </c>
      <c r="G152" s="143">
        <f t="shared" si="27"/>
        <v>2</v>
      </c>
      <c r="H152" s="9">
        <v>2.2000000000000002</v>
      </c>
      <c r="I152" s="9">
        <v>3.9</v>
      </c>
      <c r="J152" s="9">
        <v>4.4000000000000004</v>
      </c>
      <c r="K152" s="9">
        <v>7.8</v>
      </c>
      <c r="L152" s="9">
        <v>500</v>
      </c>
      <c r="M152" s="9">
        <v>550</v>
      </c>
      <c r="N152" s="165" t="s">
        <v>131</v>
      </c>
      <c r="O152" s="153">
        <v>110</v>
      </c>
      <c r="Q152" s="147">
        <f t="shared" si="28"/>
        <v>4.4775999999999998</v>
      </c>
      <c r="R152" s="140">
        <f t="shared" si="29"/>
        <v>600</v>
      </c>
      <c r="X152" s="140"/>
    </row>
    <row r="153" spans="1:24">
      <c r="A153" s="140" t="str">
        <f t="shared" si="24"/>
        <v>-</v>
      </c>
      <c r="B153" s="140">
        <f t="shared" si="25"/>
        <v>24</v>
      </c>
      <c r="C153" s="140">
        <f t="shared" si="26"/>
        <v>24</v>
      </c>
      <c r="D153" s="142">
        <f t="shared" si="30"/>
        <v>24</v>
      </c>
      <c r="E153" s="143" t="s">
        <v>184</v>
      </c>
      <c r="F153" s="143" t="s">
        <v>185</v>
      </c>
      <c r="G153" s="143">
        <f t="shared" si="27"/>
        <v>2</v>
      </c>
      <c r="H153" s="9">
        <v>2.2000000000000002</v>
      </c>
      <c r="I153" s="9">
        <v>4.3</v>
      </c>
      <c r="J153" s="9">
        <v>4.4000000000000004</v>
      </c>
      <c r="K153" s="9">
        <v>8.6</v>
      </c>
      <c r="L153" s="9">
        <v>550</v>
      </c>
      <c r="M153" s="9">
        <v>600</v>
      </c>
      <c r="N153" s="165" t="s">
        <v>131</v>
      </c>
      <c r="O153" s="153">
        <v>110</v>
      </c>
      <c r="Q153" s="147">
        <f t="shared" si="28"/>
        <v>4.4775999999999998</v>
      </c>
      <c r="R153" s="140">
        <f t="shared" si="29"/>
        <v>600</v>
      </c>
      <c r="X153" s="140"/>
    </row>
    <row r="154" spans="1:24">
      <c r="A154" s="140">
        <f t="shared" si="24"/>
        <v>2025</v>
      </c>
      <c r="B154" s="140">
        <f t="shared" si="25"/>
        <v>2025</v>
      </c>
      <c r="C154" s="140">
        <f t="shared" si="26"/>
        <v>2025</v>
      </c>
      <c r="D154" s="142">
        <f t="shared" si="30"/>
        <v>25</v>
      </c>
      <c r="E154" s="143" t="s">
        <v>342</v>
      </c>
      <c r="F154" s="143" t="s">
        <v>342</v>
      </c>
      <c r="G154" s="143">
        <f t="shared" si="27"/>
        <v>2</v>
      </c>
      <c r="H154" s="9">
        <v>0</v>
      </c>
      <c r="I154" s="9">
        <v>1000</v>
      </c>
      <c r="J154" s="9">
        <v>0</v>
      </c>
      <c r="K154" s="9">
        <v>1000</v>
      </c>
      <c r="L154" s="9">
        <v>0</v>
      </c>
      <c r="M154" s="9">
        <v>2000</v>
      </c>
      <c r="N154" s="165" t="s">
        <v>131</v>
      </c>
      <c r="O154" s="153">
        <v>110</v>
      </c>
      <c r="Q154" s="147">
        <f t="shared" si="28"/>
        <v>4.4775999999999998</v>
      </c>
      <c r="R154" s="140">
        <f t="shared" si="29"/>
        <v>600</v>
      </c>
      <c r="X154" s="140"/>
    </row>
    <row r="155" spans="1:24">
      <c r="A155" s="140" t="str">
        <f t="shared" si="24"/>
        <v>-</v>
      </c>
      <c r="B155" s="140" t="str">
        <f t="shared" si="25"/>
        <v>-</v>
      </c>
      <c r="C155" s="140" t="str">
        <f t="shared" si="26"/>
        <v>-</v>
      </c>
      <c r="D155" s="166">
        <f>D154+1</f>
        <v>26</v>
      </c>
      <c r="E155" s="167" t="s">
        <v>180</v>
      </c>
      <c r="F155" s="167" t="s">
        <v>181</v>
      </c>
      <c r="G155" s="143">
        <f t="shared" ref="G155:G179" si="31">IF(FFPH15Ширина&lt;=600,IF(SMALL(FFLH15_Колво_90_1,1)&lt;2000,1,2),IF(AND(FFPH15Высота&lt;=FFНастройкиВысота,FFPH15Ширина&lt;=FFНастройкиШирина),1,2))</f>
        <v>1</v>
      </c>
      <c r="H155" s="9">
        <v>2.8</v>
      </c>
      <c r="I155" s="9">
        <v>3.8</v>
      </c>
      <c r="J155" s="9">
        <v>5.6</v>
      </c>
      <c r="K155" s="9">
        <v>7.6</v>
      </c>
      <c r="L155" s="9">
        <v>275</v>
      </c>
      <c r="M155" s="9">
        <v>275</v>
      </c>
      <c r="N155" s="168" t="s">
        <v>127</v>
      </c>
      <c r="O155" s="169">
        <v>90</v>
      </c>
      <c r="P155" s="170"/>
      <c r="Q155" s="147">
        <f t="shared" si="28"/>
        <v>4.4775999999999998</v>
      </c>
      <c r="R155" s="140">
        <f t="shared" si="29"/>
        <v>600</v>
      </c>
      <c r="X155" s="140"/>
    </row>
    <row r="156" spans="1:24">
      <c r="A156" s="140" t="str">
        <f t="shared" si="24"/>
        <v>-</v>
      </c>
      <c r="B156" s="140" t="str">
        <f t="shared" si="25"/>
        <v>-</v>
      </c>
      <c r="C156" s="140" t="str">
        <f t="shared" si="26"/>
        <v>-</v>
      </c>
      <c r="D156" s="166">
        <f t="shared" si="30"/>
        <v>27</v>
      </c>
      <c r="E156" s="167" t="s">
        <v>180</v>
      </c>
      <c r="F156" s="167" t="s">
        <v>181</v>
      </c>
      <c r="G156" s="143">
        <f t="shared" si="31"/>
        <v>1</v>
      </c>
      <c r="H156" s="9">
        <v>2.2000000000000002</v>
      </c>
      <c r="I156" s="9">
        <v>3.4</v>
      </c>
      <c r="J156" s="9">
        <v>4.4000000000000004</v>
      </c>
      <c r="K156" s="9">
        <v>6.8</v>
      </c>
      <c r="L156" s="9">
        <v>275</v>
      </c>
      <c r="M156" s="9">
        <v>300</v>
      </c>
      <c r="N156" s="168" t="s">
        <v>127</v>
      </c>
      <c r="O156" s="169">
        <v>90</v>
      </c>
      <c r="P156" s="170"/>
      <c r="Q156" s="147">
        <f t="shared" si="28"/>
        <v>4.4775999999999998</v>
      </c>
      <c r="R156" s="140">
        <f t="shared" si="29"/>
        <v>600</v>
      </c>
      <c r="X156" s="140"/>
    </row>
    <row r="157" spans="1:24">
      <c r="A157" s="140" t="str">
        <f t="shared" si="24"/>
        <v>-</v>
      </c>
      <c r="B157" s="140" t="str">
        <f t="shared" si="25"/>
        <v>-</v>
      </c>
      <c r="C157" s="140" t="str">
        <f t="shared" si="26"/>
        <v>-</v>
      </c>
      <c r="D157" s="166">
        <f t="shared" si="30"/>
        <v>28</v>
      </c>
      <c r="E157" s="167" t="s">
        <v>180</v>
      </c>
      <c r="F157" s="167" t="s">
        <v>181</v>
      </c>
      <c r="G157" s="143">
        <f t="shared" si="31"/>
        <v>1</v>
      </c>
      <c r="H157" s="9">
        <v>2.1</v>
      </c>
      <c r="I157" s="9">
        <v>2.9</v>
      </c>
      <c r="J157" s="9">
        <v>4.2</v>
      </c>
      <c r="K157" s="9">
        <v>5.8</v>
      </c>
      <c r="L157" s="9">
        <v>300</v>
      </c>
      <c r="M157" s="9">
        <v>350</v>
      </c>
      <c r="N157" s="168" t="s">
        <v>127</v>
      </c>
      <c r="O157" s="169">
        <v>90</v>
      </c>
      <c r="P157" s="170"/>
      <c r="Q157" s="147">
        <f t="shared" si="28"/>
        <v>4.4775999999999998</v>
      </c>
      <c r="R157" s="140">
        <f t="shared" si="29"/>
        <v>600</v>
      </c>
      <c r="X157" s="140"/>
    </row>
    <row r="158" spans="1:24">
      <c r="A158" s="140" t="str">
        <f t="shared" si="24"/>
        <v>-</v>
      </c>
      <c r="B158" s="140" t="str">
        <f t="shared" si="25"/>
        <v>-</v>
      </c>
      <c r="C158" s="140" t="str">
        <f t="shared" si="26"/>
        <v>-</v>
      </c>
      <c r="D158" s="166">
        <f t="shared" si="30"/>
        <v>29</v>
      </c>
      <c r="E158" s="167" t="s">
        <v>180</v>
      </c>
      <c r="F158" s="167" t="s">
        <v>181</v>
      </c>
      <c r="G158" s="143">
        <f t="shared" si="31"/>
        <v>1</v>
      </c>
      <c r="H158" s="9">
        <v>1.6</v>
      </c>
      <c r="I158" s="9">
        <v>2.2999999999999998</v>
      </c>
      <c r="J158" s="9">
        <v>3.2</v>
      </c>
      <c r="K158" s="9">
        <v>4.5999999999999996</v>
      </c>
      <c r="L158" s="9">
        <v>350</v>
      </c>
      <c r="M158" s="9">
        <v>400</v>
      </c>
      <c r="N158" s="168" t="s">
        <v>127</v>
      </c>
      <c r="O158" s="169">
        <v>90</v>
      </c>
      <c r="P158" s="170"/>
      <c r="Q158" s="147">
        <f t="shared" si="28"/>
        <v>4.4775999999999998</v>
      </c>
      <c r="R158" s="140">
        <f t="shared" si="29"/>
        <v>600</v>
      </c>
      <c r="X158" s="140"/>
    </row>
    <row r="159" spans="1:24">
      <c r="A159" s="140" t="str">
        <f t="shared" si="24"/>
        <v>-</v>
      </c>
      <c r="B159" s="140" t="str">
        <f t="shared" si="25"/>
        <v>-</v>
      </c>
      <c r="C159" s="140" t="str">
        <f t="shared" si="26"/>
        <v>-</v>
      </c>
      <c r="D159" s="166">
        <f t="shared" si="30"/>
        <v>30</v>
      </c>
      <c r="E159" s="167" t="s">
        <v>180</v>
      </c>
      <c r="F159" s="167" t="s">
        <v>181</v>
      </c>
      <c r="G159" s="143">
        <f t="shared" si="31"/>
        <v>1</v>
      </c>
      <c r="H159" s="9">
        <v>1.3</v>
      </c>
      <c r="I159" s="9">
        <v>2.2000000000000002</v>
      </c>
      <c r="J159" s="9">
        <v>2.6</v>
      </c>
      <c r="K159" s="9">
        <v>4.4000000000000004</v>
      </c>
      <c r="L159" s="9">
        <v>400</v>
      </c>
      <c r="M159" s="9">
        <v>450</v>
      </c>
      <c r="N159" s="168" t="s">
        <v>127</v>
      </c>
      <c r="O159" s="169">
        <v>90</v>
      </c>
      <c r="P159" s="170"/>
      <c r="Q159" s="147">
        <f t="shared" si="28"/>
        <v>4.4775999999999998</v>
      </c>
      <c r="R159" s="140">
        <f t="shared" si="29"/>
        <v>600</v>
      </c>
      <c r="X159" s="140"/>
    </row>
    <row r="160" spans="1:24">
      <c r="A160" s="140" t="str">
        <f t="shared" si="24"/>
        <v>-</v>
      </c>
      <c r="B160" s="140" t="str">
        <f t="shared" si="25"/>
        <v>-</v>
      </c>
      <c r="C160" s="140" t="str">
        <f t="shared" si="26"/>
        <v>-</v>
      </c>
      <c r="D160" s="166">
        <f t="shared" si="30"/>
        <v>31</v>
      </c>
      <c r="E160" s="167" t="s">
        <v>180</v>
      </c>
      <c r="F160" s="167" t="s">
        <v>181</v>
      </c>
      <c r="G160" s="143">
        <f t="shared" si="31"/>
        <v>1</v>
      </c>
      <c r="H160" s="9">
        <v>1.2</v>
      </c>
      <c r="I160" s="9">
        <v>2</v>
      </c>
      <c r="J160" s="9">
        <v>2.4</v>
      </c>
      <c r="K160" s="9">
        <v>4</v>
      </c>
      <c r="L160" s="9">
        <v>450</v>
      </c>
      <c r="M160" s="9">
        <v>500</v>
      </c>
      <c r="N160" s="168" t="s">
        <v>127</v>
      </c>
      <c r="O160" s="169">
        <v>90</v>
      </c>
      <c r="P160" s="170"/>
      <c r="Q160" s="147">
        <f t="shared" si="28"/>
        <v>4.4775999999999998</v>
      </c>
      <c r="R160" s="140">
        <f t="shared" si="29"/>
        <v>600</v>
      </c>
      <c r="X160" s="140"/>
    </row>
    <row r="161" spans="1:24">
      <c r="A161" s="140" t="str">
        <f t="shared" si="24"/>
        <v>-</v>
      </c>
      <c r="B161" s="140" t="str">
        <f t="shared" si="25"/>
        <v>-</v>
      </c>
      <c r="C161" s="140" t="str">
        <f t="shared" si="26"/>
        <v>-</v>
      </c>
      <c r="D161" s="166">
        <f t="shared" si="30"/>
        <v>32</v>
      </c>
      <c r="E161" s="167" t="s">
        <v>180</v>
      </c>
      <c r="F161" s="167" t="s">
        <v>181</v>
      </c>
      <c r="G161" s="143">
        <f t="shared" si="31"/>
        <v>1</v>
      </c>
      <c r="H161" s="9">
        <v>1.2</v>
      </c>
      <c r="I161" s="9">
        <v>1.9</v>
      </c>
      <c r="J161" s="9">
        <v>2.4</v>
      </c>
      <c r="K161" s="9">
        <v>3.8</v>
      </c>
      <c r="L161" s="9">
        <v>500</v>
      </c>
      <c r="M161" s="9">
        <v>550</v>
      </c>
      <c r="N161" s="168" t="s">
        <v>127</v>
      </c>
      <c r="O161" s="169">
        <v>90</v>
      </c>
      <c r="P161" s="170"/>
      <c r="Q161" s="147">
        <f t="shared" si="28"/>
        <v>4.4775999999999998</v>
      </c>
      <c r="R161" s="140">
        <f t="shared" si="29"/>
        <v>600</v>
      </c>
      <c r="X161" s="140"/>
    </row>
    <row r="162" spans="1:24">
      <c r="A162" s="140" t="str">
        <f t="shared" ref="A162:A198" si="32">IF(AND(FFPH15Высота&gt;=FFLH15ВыСот,FFPH15Высота&lt;=FFLH15ВыСдо,FFPH15Вес&gt;=FFLH15ВеСот,FFPH15Вес&lt;=FFLH15ВеСдо),IF(FFLH15ВыСдо&lt;2000,FFLH15№,FFLH15№+2000),"-")</f>
        <v>-</v>
      </c>
      <c r="B162" s="140" t="str">
        <f t="shared" ref="B162:B198" si="33">IF(AND(FFPH15Высота&gt;=FFLH15ВыСот,FFPH15Высота&lt;=FFLH15ВыСдо,FFPH15Вес&gt;=FFLH15ВеСот2,FFPH15Вес&lt;=FFLH15ВеСдо2),IF(FFLH15ВыСдо&lt;2000,FFLH15№,FFLH15№+2000),IF(FFLH15ВыСдо&lt;2000,IF(AND(FFPH15Высота&gt;=FFLH15ВыСот,FFPH15Высота&lt;=FFLH15ВыСдо,FFPH15Вес&gt;=FFLH15ВеСот,FFPH15Вес&lt;=FFLH15ВеСдо2),FFLH15Маркер1,"-")))</f>
        <v>-</v>
      </c>
      <c r="C162" s="140" t="str">
        <f t="shared" ref="C162:C198" si="34">IF(FFLH15КолвоM=1,FFLH15Маркер1,FFLH15Маркер2)</f>
        <v>-</v>
      </c>
      <c r="D162" s="166">
        <f t="shared" si="30"/>
        <v>33</v>
      </c>
      <c r="E162" s="167" t="s">
        <v>180</v>
      </c>
      <c r="F162" s="167" t="s">
        <v>181</v>
      </c>
      <c r="G162" s="143">
        <f t="shared" si="31"/>
        <v>1</v>
      </c>
      <c r="H162" s="9">
        <v>0.9</v>
      </c>
      <c r="I162" s="9">
        <v>1.6</v>
      </c>
      <c r="J162" s="9">
        <v>1.8</v>
      </c>
      <c r="K162" s="9">
        <v>3.2</v>
      </c>
      <c r="L162" s="9">
        <v>550</v>
      </c>
      <c r="M162" s="9">
        <v>600</v>
      </c>
      <c r="N162" s="168" t="s">
        <v>127</v>
      </c>
      <c r="O162" s="169">
        <v>90</v>
      </c>
      <c r="P162" s="170"/>
      <c r="Q162" s="147">
        <f t="shared" ref="Q162:Q198" si="35">FFPH15Вес</f>
        <v>4.4775999999999998</v>
      </c>
      <c r="R162" s="140">
        <f t="shared" ref="R162:R198" si="36">FFPH15Высота</f>
        <v>600</v>
      </c>
      <c r="X162" s="140"/>
    </row>
    <row r="163" spans="1:24">
      <c r="A163" s="140" t="str">
        <f t="shared" si="32"/>
        <v>-</v>
      </c>
      <c r="B163" s="140" t="str">
        <f t="shared" si="33"/>
        <v>-</v>
      </c>
      <c r="C163" s="140" t="str">
        <f t="shared" si="34"/>
        <v>-</v>
      </c>
      <c r="D163" s="166">
        <f t="shared" si="30"/>
        <v>34</v>
      </c>
      <c r="E163" s="167" t="s">
        <v>182</v>
      </c>
      <c r="F163" s="167" t="s">
        <v>183</v>
      </c>
      <c r="G163" s="143">
        <f t="shared" si="31"/>
        <v>1</v>
      </c>
      <c r="H163" s="9">
        <v>3.5</v>
      </c>
      <c r="I163" s="9">
        <v>6</v>
      </c>
      <c r="J163" s="9">
        <v>7</v>
      </c>
      <c r="K163" s="9">
        <v>12</v>
      </c>
      <c r="L163" s="9">
        <v>275</v>
      </c>
      <c r="M163" s="9">
        <v>275</v>
      </c>
      <c r="N163" s="168" t="s">
        <v>128</v>
      </c>
      <c r="O163" s="169">
        <v>90</v>
      </c>
      <c r="P163" s="170"/>
      <c r="Q163" s="147">
        <f t="shared" si="35"/>
        <v>4.4775999999999998</v>
      </c>
      <c r="R163" s="140">
        <f t="shared" si="36"/>
        <v>600</v>
      </c>
      <c r="X163" s="140"/>
    </row>
    <row r="164" spans="1:24">
      <c r="A164" s="140" t="str">
        <f t="shared" si="32"/>
        <v>-</v>
      </c>
      <c r="B164" s="140" t="str">
        <f t="shared" si="33"/>
        <v>-</v>
      </c>
      <c r="C164" s="140" t="str">
        <f t="shared" si="34"/>
        <v>-</v>
      </c>
      <c r="D164" s="166">
        <f t="shared" si="30"/>
        <v>35</v>
      </c>
      <c r="E164" s="167" t="s">
        <v>182</v>
      </c>
      <c r="F164" s="167" t="s">
        <v>183</v>
      </c>
      <c r="G164" s="143">
        <f t="shared" si="31"/>
        <v>1</v>
      </c>
      <c r="H164" s="9">
        <v>3.3</v>
      </c>
      <c r="I164" s="9">
        <v>5.7</v>
      </c>
      <c r="J164" s="9">
        <v>6.6</v>
      </c>
      <c r="K164" s="9">
        <v>11.4</v>
      </c>
      <c r="L164" s="9">
        <v>275</v>
      </c>
      <c r="M164" s="9">
        <v>300</v>
      </c>
      <c r="N164" s="168" t="s">
        <v>128</v>
      </c>
      <c r="O164" s="169">
        <v>90</v>
      </c>
      <c r="P164" s="170"/>
      <c r="Q164" s="147">
        <f t="shared" si="35"/>
        <v>4.4775999999999998</v>
      </c>
      <c r="R164" s="140">
        <f t="shared" si="36"/>
        <v>600</v>
      </c>
      <c r="X164" s="140"/>
    </row>
    <row r="165" spans="1:24">
      <c r="A165" s="140" t="str">
        <f t="shared" si="32"/>
        <v>-</v>
      </c>
      <c r="B165" s="140" t="str">
        <f t="shared" si="33"/>
        <v>-</v>
      </c>
      <c r="C165" s="140" t="str">
        <f t="shared" si="34"/>
        <v>-</v>
      </c>
      <c r="D165" s="166">
        <f t="shared" si="30"/>
        <v>36</v>
      </c>
      <c r="E165" s="167" t="s">
        <v>182</v>
      </c>
      <c r="F165" s="167" t="s">
        <v>183</v>
      </c>
      <c r="G165" s="143">
        <f t="shared" si="31"/>
        <v>1</v>
      </c>
      <c r="H165" s="9">
        <v>2.7</v>
      </c>
      <c r="I165" s="9">
        <v>4.9000000000000004</v>
      </c>
      <c r="J165" s="9">
        <v>5.4</v>
      </c>
      <c r="K165" s="9">
        <v>9.8000000000000007</v>
      </c>
      <c r="L165" s="9">
        <v>300</v>
      </c>
      <c r="M165" s="9">
        <v>350</v>
      </c>
      <c r="N165" s="168" t="s">
        <v>128</v>
      </c>
      <c r="O165" s="169">
        <v>90</v>
      </c>
      <c r="P165" s="170"/>
      <c r="Q165" s="147">
        <f t="shared" si="35"/>
        <v>4.4775999999999998</v>
      </c>
      <c r="R165" s="140">
        <f t="shared" si="36"/>
        <v>600</v>
      </c>
      <c r="X165" s="140"/>
    </row>
    <row r="166" spans="1:24">
      <c r="A166" s="140" t="str">
        <f t="shared" si="32"/>
        <v>-</v>
      </c>
      <c r="B166" s="140" t="str">
        <f t="shared" si="33"/>
        <v>-</v>
      </c>
      <c r="C166" s="140" t="str">
        <f t="shared" si="34"/>
        <v>-</v>
      </c>
      <c r="D166" s="166">
        <f t="shared" si="30"/>
        <v>37</v>
      </c>
      <c r="E166" s="167" t="s">
        <v>182</v>
      </c>
      <c r="F166" s="167" t="s">
        <v>183</v>
      </c>
      <c r="G166" s="143">
        <f t="shared" si="31"/>
        <v>1</v>
      </c>
      <c r="H166" s="9">
        <v>2.2999999999999998</v>
      </c>
      <c r="I166" s="9">
        <v>4.5999999999999996</v>
      </c>
      <c r="J166" s="9">
        <v>4.5999999999999996</v>
      </c>
      <c r="K166" s="9">
        <v>9.1999999999999993</v>
      </c>
      <c r="L166" s="9">
        <v>350</v>
      </c>
      <c r="M166" s="9">
        <v>400</v>
      </c>
      <c r="N166" s="168" t="s">
        <v>128</v>
      </c>
      <c r="O166" s="169">
        <v>90</v>
      </c>
      <c r="P166" s="170"/>
      <c r="Q166" s="147">
        <f t="shared" si="35"/>
        <v>4.4775999999999998</v>
      </c>
      <c r="R166" s="140">
        <f t="shared" si="36"/>
        <v>600</v>
      </c>
      <c r="X166" s="140"/>
    </row>
    <row r="167" spans="1:24">
      <c r="A167" s="140" t="str">
        <f t="shared" si="32"/>
        <v>-</v>
      </c>
      <c r="B167" s="140" t="str">
        <f t="shared" si="33"/>
        <v>-</v>
      </c>
      <c r="C167" s="140" t="str">
        <f t="shared" si="34"/>
        <v>-</v>
      </c>
      <c r="D167" s="166">
        <f t="shared" si="30"/>
        <v>38</v>
      </c>
      <c r="E167" s="167" t="s">
        <v>182</v>
      </c>
      <c r="F167" s="167" t="s">
        <v>183</v>
      </c>
      <c r="G167" s="143">
        <f t="shared" si="31"/>
        <v>1</v>
      </c>
      <c r="H167" s="9">
        <v>2</v>
      </c>
      <c r="I167" s="9">
        <v>3.8</v>
      </c>
      <c r="J167" s="9">
        <v>4</v>
      </c>
      <c r="K167" s="9">
        <v>7.6</v>
      </c>
      <c r="L167" s="9">
        <v>400</v>
      </c>
      <c r="M167" s="9">
        <v>450</v>
      </c>
      <c r="N167" s="168" t="s">
        <v>128</v>
      </c>
      <c r="O167" s="169">
        <v>90</v>
      </c>
      <c r="P167" s="170"/>
      <c r="Q167" s="147">
        <f t="shared" si="35"/>
        <v>4.4775999999999998</v>
      </c>
      <c r="R167" s="140">
        <f t="shared" si="36"/>
        <v>600</v>
      </c>
      <c r="X167" s="140"/>
    </row>
    <row r="168" spans="1:24">
      <c r="A168" s="140" t="str">
        <f t="shared" si="32"/>
        <v>-</v>
      </c>
      <c r="B168" s="140" t="str">
        <f t="shared" si="33"/>
        <v>-</v>
      </c>
      <c r="C168" s="140" t="str">
        <f t="shared" si="34"/>
        <v>-</v>
      </c>
      <c r="D168" s="166">
        <f t="shared" si="30"/>
        <v>39</v>
      </c>
      <c r="E168" s="167" t="s">
        <v>182</v>
      </c>
      <c r="F168" s="167" t="s">
        <v>183</v>
      </c>
      <c r="G168" s="143">
        <f t="shared" si="31"/>
        <v>1</v>
      </c>
      <c r="H168" s="9">
        <v>1.7</v>
      </c>
      <c r="I168" s="9">
        <v>3.4</v>
      </c>
      <c r="J168" s="9">
        <v>3.4</v>
      </c>
      <c r="K168" s="9">
        <v>6.8</v>
      </c>
      <c r="L168" s="9">
        <v>450</v>
      </c>
      <c r="M168" s="9">
        <v>500</v>
      </c>
      <c r="N168" s="168" t="s">
        <v>128</v>
      </c>
      <c r="O168" s="169">
        <v>90</v>
      </c>
      <c r="P168" s="170"/>
      <c r="Q168" s="147">
        <f t="shared" si="35"/>
        <v>4.4775999999999998</v>
      </c>
      <c r="R168" s="140">
        <f t="shared" si="36"/>
        <v>600</v>
      </c>
      <c r="X168" s="140"/>
    </row>
    <row r="169" spans="1:24">
      <c r="A169" s="140" t="str">
        <f t="shared" si="32"/>
        <v>-</v>
      </c>
      <c r="B169" s="140" t="str">
        <f t="shared" si="33"/>
        <v>-</v>
      </c>
      <c r="C169" s="140" t="str">
        <f t="shared" si="34"/>
        <v>-</v>
      </c>
      <c r="D169" s="166">
        <f t="shared" si="30"/>
        <v>40</v>
      </c>
      <c r="E169" s="167" t="s">
        <v>182</v>
      </c>
      <c r="F169" s="167" t="s">
        <v>183</v>
      </c>
      <c r="G169" s="143">
        <f t="shared" si="31"/>
        <v>1</v>
      </c>
      <c r="H169" s="9">
        <v>1.7</v>
      </c>
      <c r="I169" s="9">
        <v>3</v>
      </c>
      <c r="J169" s="9">
        <v>3.4</v>
      </c>
      <c r="K169" s="9">
        <v>6</v>
      </c>
      <c r="L169" s="9">
        <v>500</v>
      </c>
      <c r="M169" s="9">
        <v>550</v>
      </c>
      <c r="N169" s="168" t="s">
        <v>128</v>
      </c>
      <c r="O169" s="169">
        <v>90</v>
      </c>
      <c r="P169" s="170"/>
      <c r="Q169" s="147">
        <f t="shared" si="35"/>
        <v>4.4775999999999998</v>
      </c>
      <c r="R169" s="140">
        <f t="shared" si="36"/>
        <v>600</v>
      </c>
      <c r="X169" s="140"/>
    </row>
    <row r="170" spans="1:24">
      <c r="A170" s="140" t="str">
        <f t="shared" si="32"/>
        <v>-</v>
      </c>
      <c r="B170" s="140">
        <f t="shared" si="33"/>
        <v>41</v>
      </c>
      <c r="C170" s="140" t="str">
        <f t="shared" si="34"/>
        <v>-</v>
      </c>
      <c r="D170" s="166">
        <f t="shared" si="30"/>
        <v>41</v>
      </c>
      <c r="E170" s="167" t="s">
        <v>182</v>
      </c>
      <c r="F170" s="167" t="s">
        <v>183</v>
      </c>
      <c r="G170" s="143">
        <f t="shared" si="31"/>
        <v>1</v>
      </c>
      <c r="H170" s="9">
        <v>1.6</v>
      </c>
      <c r="I170" s="9">
        <v>3</v>
      </c>
      <c r="J170" s="9">
        <v>3.2</v>
      </c>
      <c r="K170" s="9">
        <v>6</v>
      </c>
      <c r="L170" s="9">
        <v>550</v>
      </c>
      <c r="M170" s="9">
        <v>600</v>
      </c>
      <c r="N170" s="168" t="s">
        <v>128</v>
      </c>
      <c r="O170" s="169">
        <v>90</v>
      </c>
      <c r="P170" s="170"/>
      <c r="Q170" s="147">
        <f t="shared" si="35"/>
        <v>4.4775999999999998</v>
      </c>
      <c r="R170" s="140">
        <f t="shared" si="36"/>
        <v>600</v>
      </c>
      <c r="X170" s="140"/>
    </row>
    <row r="171" spans="1:24">
      <c r="A171" s="140" t="str">
        <f t="shared" si="32"/>
        <v>-</v>
      </c>
      <c r="B171" s="140" t="str">
        <f t="shared" si="33"/>
        <v>-</v>
      </c>
      <c r="C171" s="140" t="str">
        <f t="shared" si="34"/>
        <v>-</v>
      </c>
      <c r="D171" s="166">
        <f t="shared" ref="D171:D198" si="37">D170+1</f>
        <v>42</v>
      </c>
      <c r="E171" s="167" t="s">
        <v>184</v>
      </c>
      <c r="F171" s="167" t="s">
        <v>185</v>
      </c>
      <c r="G171" s="143">
        <f t="shared" si="31"/>
        <v>1</v>
      </c>
      <c r="H171" s="9">
        <v>5.8</v>
      </c>
      <c r="I171" s="9">
        <v>10.5</v>
      </c>
      <c r="J171" s="9">
        <v>11.6</v>
      </c>
      <c r="K171" s="9">
        <v>21</v>
      </c>
      <c r="L171" s="9">
        <v>275</v>
      </c>
      <c r="M171" s="9">
        <v>275</v>
      </c>
      <c r="N171" s="168" t="s">
        <v>131</v>
      </c>
      <c r="O171" s="169">
        <v>90</v>
      </c>
      <c r="P171" s="170"/>
      <c r="Q171" s="147">
        <f t="shared" si="35"/>
        <v>4.4775999999999998</v>
      </c>
      <c r="R171" s="140">
        <f t="shared" si="36"/>
        <v>600</v>
      </c>
      <c r="X171" s="140"/>
    </row>
    <row r="172" spans="1:24">
      <c r="A172" s="140" t="str">
        <f t="shared" si="32"/>
        <v>-</v>
      </c>
      <c r="B172" s="140" t="str">
        <f t="shared" si="33"/>
        <v>-</v>
      </c>
      <c r="C172" s="140" t="str">
        <f t="shared" si="34"/>
        <v>-</v>
      </c>
      <c r="D172" s="166">
        <f t="shared" si="37"/>
        <v>43</v>
      </c>
      <c r="E172" s="167" t="s">
        <v>184</v>
      </c>
      <c r="F172" s="167" t="s">
        <v>185</v>
      </c>
      <c r="G172" s="143">
        <f t="shared" si="31"/>
        <v>1</v>
      </c>
      <c r="H172" s="9">
        <v>5.2</v>
      </c>
      <c r="I172" s="9">
        <v>9</v>
      </c>
      <c r="J172" s="9">
        <v>10.4</v>
      </c>
      <c r="K172" s="9">
        <v>18</v>
      </c>
      <c r="L172" s="9">
        <v>275</v>
      </c>
      <c r="M172" s="9">
        <v>300</v>
      </c>
      <c r="N172" s="168" t="s">
        <v>131</v>
      </c>
      <c r="O172" s="169">
        <v>90</v>
      </c>
      <c r="P172" s="170"/>
      <c r="Q172" s="147">
        <f t="shared" si="35"/>
        <v>4.4775999999999998</v>
      </c>
      <c r="R172" s="140">
        <f t="shared" si="36"/>
        <v>600</v>
      </c>
      <c r="X172" s="140"/>
    </row>
    <row r="173" spans="1:24">
      <c r="A173" s="140" t="str">
        <f t="shared" si="32"/>
        <v>-</v>
      </c>
      <c r="B173" s="140" t="str">
        <f t="shared" si="33"/>
        <v>-</v>
      </c>
      <c r="C173" s="140" t="str">
        <f t="shared" si="34"/>
        <v>-</v>
      </c>
      <c r="D173" s="166">
        <f t="shared" si="37"/>
        <v>44</v>
      </c>
      <c r="E173" s="167" t="s">
        <v>184</v>
      </c>
      <c r="F173" s="167" t="s">
        <v>185</v>
      </c>
      <c r="G173" s="143">
        <f t="shared" si="31"/>
        <v>1</v>
      </c>
      <c r="H173" s="9">
        <v>4.8</v>
      </c>
      <c r="I173" s="9">
        <v>8</v>
      </c>
      <c r="J173" s="9">
        <v>9.6</v>
      </c>
      <c r="K173" s="9">
        <v>16</v>
      </c>
      <c r="L173" s="9">
        <v>300</v>
      </c>
      <c r="M173" s="9">
        <v>350</v>
      </c>
      <c r="N173" s="168" t="s">
        <v>131</v>
      </c>
      <c r="O173" s="169">
        <v>90</v>
      </c>
      <c r="P173" s="170"/>
      <c r="Q173" s="147">
        <f t="shared" si="35"/>
        <v>4.4775999999999998</v>
      </c>
      <c r="R173" s="140">
        <f t="shared" si="36"/>
        <v>600</v>
      </c>
      <c r="X173" s="140"/>
    </row>
    <row r="174" spans="1:24">
      <c r="A174" s="140" t="str">
        <f t="shared" si="32"/>
        <v>-</v>
      </c>
      <c r="B174" s="140" t="str">
        <f t="shared" si="33"/>
        <v>-</v>
      </c>
      <c r="C174" s="140" t="str">
        <f t="shared" si="34"/>
        <v>-</v>
      </c>
      <c r="D174" s="166">
        <f t="shared" si="37"/>
        <v>45</v>
      </c>
      <c r="E174" s="167" t="s">
        <v>184</v>
      </c>
      <c r="F174" s="167" t="s">
        <v>185</v>
      </c>
      <c r="G174" s="143">
        <f t="shared" si="31"/>
        <v>1</v>
      </c>
      <c r="H174" s="9">
        <v>4.3</v>
      </c>
      <c r="I174" s="9">
        <v>7.9</v>
      </c>
      <c r="J174" s="9">
        <v>8.6</v>
      </c>
      <c r="K174" s="9">
        <v>15.8</v>
      </c>
      <c r="L174" s="9">
        <v>350</v>
      </c>
      <c r="M174" s="9">
        <v>400</v>
      </c>
      <c r="N174" s="168" t="s">
        <v>131</v>
      </c>
      <c r="O174" s="169">
        <v>90</v>
      </c>
      <c r="P174" s="170"/>
      <c r="Q174" s="147">
        <f t="shared" si="35"/>
        <v>4.4775999999999998</v>
      </c>
      <c r="R174" s="140">
        <f t="shared" si="36"/>
        <v>600</v>
      </c>
      <c r="X174" s="140"/>
    </row>
    <row r="175" spans="1:24">
      <c r="A175" s="140" t="str">
        <f t="shared" si="32"/>
        <v>-</v>
      </c>
      <c r="B175" s="140" t="str">
        <f t="shared" si="33"/>
        <v>-</v>
      </c>
      <c r="C175" s="140" t="str">
        <f t="shared" si="34"/>
        <v>-</v>
      </c>
      <c r="D175" s="166">
        <f t="shared" si="37"/>
        <v>46</v>
      </c>
      <c r="E175" s="167" t="s">
        <v>184</v>
      </c>
      <c r="F175" s="167" t="s">
        <v>185</v>
      </c>
      <c r="G175" s="143">
        <f t="shared" si="31"/>
        <v>1</v>
      </c>
      <c r="H175" s="9">
        <v>3.8</v>
      </c>
      <c r="I175" s="9">
        <v>6.3</v>
      </c>
      <c r="J175" s="9">
        <v>7.6</v>
      </c>
      <c r="K175" s="9">
        <v>12.6</v>
      </c>
      <c r="L175" s="9">
        <v>400</v>
      </c>
      <c r="M175" s="9">
        <v>450</v>
      </c>
      <c r="N175" s="168" t="s">
        <v>131</v>
      </c>
      <c r="O175" s="169">
        <v>90</v>
      </c>
      <c r="P175" s="170"/>
      <c r="Q175" s="147">
        <f t="shared" si="35"/>
        <v>4.4775999999999998</v>
      </c>
      <c r="R175" s="140">
        <f t="shared" si="36"/>
        <v>600</v>
      </c>
      <c r="X175" s="140"/>
    </row>
    <row r="176" spans="1:24">
      <c r="A176" s="140" t="str">
        <f t="shared" si="32"/>
        <v>-</v>
      </c>
      <c r="B176" s="140" t="str">
        <f t="shared" si="33"/>
        <v>-</v>
      </c>
      <c r="C176" s="140" t="str">
        <f t="shared" si="34"/>
        <v>-</v>
      </c>
      <c r="D176" s="166">
        <f t="shared" si="37"/>
        <v>47</v>
      </c>
      <c r="E176" s="167" t="s">
        <v>184</v>
      </c>
      <c r="F176" s="167" t="s">
        <v>185</v>
      </c>
      <c r="G176" s="143">
        <f t="shared" si="31"/>
        <v>1</v>
      </c>
      <c r="H176" s="9">
        <v>3.4</v>
      </c>
      <c r="I176" s="9">
        <v>6</v>
      </c>
      <c r="J176" s="9">
        <v>6.8</v>
      </c>
      <c r="K176" s="9">
        <v>12</v>
      </c>
      <c r="L176" s="9">
        <v>450</v>
      </c>
      <c r="M176" s="9">
        <v>500</v>
      </c>
      <c r="N176" s="168" t="s">
        <v>131</v>
      </c>
      <c r="O176" s="169">
        <v>90</v>
      </c>
      <c r="P176" s="170"/>
      <c r="Q176" s="147">
        <f t="shared" si="35"/>
        <v>4.4775999999999998</v>
      </c>
      <c r="R176" s="140">
        <f t="shared" si="36"/>
        <v>600</v>
      </c>
      <c r="X176" s="140"/>
    </row>
    <row r="177" spans="1:24">
      <c r="A177" s="140" t="str">
        <f t="shared" si="32"/>
        <v>-</v>
      </c>
      <c r="B177" s="140" t="str">
        <f t="shared" si="33"/>
        <v>-</v>
      </c>
      <c r="C177" s="140" t="str">
        <f t="shared" si="34"/>
        <v>-</v>
      </c>
      <c r="D177" s="166">
        <f t="shared" si="37"/>
        <v>48</v>
      </c>
      <c r="E177" s="167" t="s">
        <v>184</v>
      </c>
      <c r="F177" s="167" t="s">
        <v>185</v>
      </c>
      <c r="G177" s="143">
        <f t="shared" si="31"/>
        <v>1</v>
      </c>
      <c r="H177" s="9">
        <v>3</v>
      </c>
      <c r="I177" s="9">
        <v>5.0999999999999996</v>
      </c>
      <c r="J177" s="9">
        <v>6</v>
      </c>
      <c r="K177" s="9">
        <v>10.199999999999999</v>
      </c>
      <c r="L177" s="9">
        <v>500</v>
      </c>
      <c r="M177" s="9">
        <v>550</v>
      </c>
      <c r="N177" s="168" t="s">
        <v>131</v>
      </c>
      <c r="O177" s="169">
        <v>90</v>
      </c>
      <c r="P177" s="170"/>
      <c r="Q177" s="147">
        <f t="shared" si="35"/>
        <v>4.4775999999999998</v>
      </c>
      <c r="R177" s="140">
        <f t="shared" si="36"/>
        <v>600</v>
      </c>
      <c r="X177" s="140"/>
    </row>
    <row r="178" spans="1:24">
      <c r="A178" s="140">
        <f t="shared" si="32"/>
        <v>49</v>
      </c>
      <c r="B178" s="140">
        <f t="shared" si="33"/>
        <v>49</v>
      </c>
      <c r="C178" s="140">
        <f t="shared" si="34"/>
        <v>49</v>
      </c>
      <c r="D178" s="166">
        <f t="shared" si="37"/>
        <v>49</v>
      </c>
      <c r="E178" s="167" t="s">
        <v>184</v>
      </c>
      <c r="F178" s="167" t="s">
        <v>185</v>
      </c>
      <c r="G178" s="143">
        <f t="shared" si="31"/>
        <v>1</v>
      </c>
      <c r="H178" s="9">
        <v>3</v>
      </c>
      <c r="I178" s="9">
        <v>4.7</v>
      </c>
      <c r="J178" s="9">
        <v>6</v>
      </c>
      <c r="K178" s="9">
        <v>9.4</v>
      </c>
      <c r="L178" s="9">
        <v>550</v>
      </c>
      <c r="M178" s="9">
        <v>600</v>
      </c>
      <c r="N178" s="168" t="s">
        <v>131</v>
      </c>
      <c r="O178" s="169">
        <v>90</v>
      </c>
      <c r="P178" s="170"/>
      <c r="Q178" s="147">
        <f t="shared" si="35"/>
        <v>4.4775999999999998</v>
      </c>
      <c r="R178" s="140">
        <f t="shared" si="36"/>
        <v>600</v>
      </c>
      <c r="X178" s="140"/>
    </row>
    <row r="179" spans="1:24">
      <c r="A179" s="140">
        <f t="shared" si="32"/>
        <v>2050</v>
      </c>
      <c r="B179" s="140">
        <f t="shared" si="33"/>
        <v>2050</v>
      </c>
      <c r="C179" s="140">
        <f t="shared" si="34"/>
        <v>2050</v>
      </c>
      <c r="D179" s="166">
        <f t="shared" si="37"/>
        <v>50</v>
      </c>
      <c r="E179" s="167" t="s">
        <v>342</v>
      </c>
      <c r="F179" s="167" t="s">
        <v>342</v>
      </c>
      <c r="G179" s="143">
        <f t="shared" si="31"/>
        <v>1</v>
      </c>
      <c r="H179" s="9">
        <v>0</v>
      </c>
      <c r="I179" s="9">
        <v>1000</v>
      </c>
      <c r="J179" s="9">
        <v>0</v>
      </c>
      <c r="K179" s="9">
        <v>1000</v>
      </c>
      <c r="L179" s="9">
        <v>0</v>
      </c>
      <c r="M179" s="9">
        <v>2000</v>
      </c>
      <c r="N179" s="168" t="s">
        <v>131</v>
      </c>
      <c r="O179" s="169">
        <v>90</v>
      </c>
      <c r="P179" s="170"/>
      <c r="Q179" s="147">
        <f t="shared" si="35"/>
        <v>4.4775999999999998</v>
      </c>
      <c r="R179" s="140">
        <f t="shared" si="36"/>
        <v>600</v>
      </c>
      <c r="X179" s="140"/>
    </row>
    <row r="180" spans="1:24">
      <c r="A180" s="140" t="str">
        <f t="shared" si="32"/>
        <v>-</v>
      </c>
      <c r="B180" s="140" t="str">
        <f t="shared" si="33"/>
        <v>-</v>
      </c>
      <c r="C180" s="140" t="str">
        <f t="shared" si="34"/>
        <v>-</v>
      </c>
      <c r="D180" s="171">
        <f>D179+1</f>
        <v>51</v>
      </c>
      <c r="E180" s="172" t="s">
        <v>180</v>
      </c>
      <c r="F180" s="172" t="s">
        <v>181</v>
      </c>
      <c r="G180" s="143">
        <f t="shared" ref="G180:G198" si="38">IF(FFPH15Ширина&lt;=600,IF(SMALL(FFLH15_Колво_75_1,1)&lt;2000,1,2),IF(AND(FFPH15Высота&lt;=FFНастройкиВысота,FFPH15Ширина&lt;=FFНастройкиШирина),1,2))</f>
        <v>1</v>
      </c>
      <c r="H180" s="9">
        <v>2.6</v>
      </c>
      <c r="I180" s="9">
        <v>4.2</v>
      </c>
      <c r="J180" s="9">
        <v>5.2</v>
      </c>
      <c r="K180" s="9">
        <v>8.4</v>
      </c>
      <c r="L180" s="9">
        <v>350</v>
      </c>
      <c r="M180" s="9">
        <v>350</v>
      </c>
      <c r="N180" s="168" t="s">
        <v>127</v>
      </c>
      <c r="O180" s="169">
        <v>75</v>
      </c>
      <c r="P180" s="170"/>
      <c r="Q180" s="147">
        <f t="shared" si="35"/>
        <v>4.4775999999999998</v>
      </c>
      <c r="R180" s="140">
        <f t="shared" si="36"/>
        <v>600</v>
      </c>
      <c r="X180" s="140"/>
    </row>
    <row r="181" spans="1:24">
      <c r="A181" s="140" t="str">
        <f t="shared" si="32"/>
        <v>-</v>
      </c>
      <c r="B181" s="140" t="str">
        <f t="shared" si="33"/>
        <v>-</v>
      </c>
      <c r="C181" s="140" t="str">
        <f t="shared" si="34"/>
        <v>-</v>
      </c>
      <c r="D181" s="171">
        <f t="shared" si="37"/>
        <v>52</v>
      </c>
      <c r="E181" s="172" t="s">
        <v>180</v>
      </c>
      <c r="F181" s="172" t="s">
        <v>181</v>
      </c>
      <c r="G181" s="143">
        <f t="shared" si="38"/>
        <v>1</v>
      </c>
      <c r="H181" s="9">
        <v>2.2999999999999998</v>
      </c>
      <c r="I181" s="9">
        <v>3.3</v>
      </c>
      <c r="J181" s="9">
        <v>4.5999999999999996</v>
      </c>
      <c r="K181" s="9">
        <v>6.6</v>
      </c>
      <c r="L181" s="9">
        <v>350</v>
      </c>
      <c r="M181" s="9">
        <v>400</v>
      </c>
      <c r="N181" s="168" t="s">
        <v>127</v>
      </c>
      <c r="O181" s="169">
        <v>75</v>
      </c>
      <c r="P181" s="170"/>
      <c r="Q181" s="147">
        <f t="shared" si="35"/>
        <v>4.4775999999999998</v>
      </c>
      <c r="R181" s="140">
        <f t="shared" si="36"/>
        <v>600</v>
      </c>
      <c r="X181" s="140"/>
    </row>
    <row r="182" spans="1:24">
      <c r="A182" s="140" t="str">
        <f t="shared" si="32"/>
        <v>-</v>
      </c>
      <c r="B182" s="140" t="str">
        <f t="shared" si="33"/>
        <v>-</v>
      </c>
      <c r="C182" s="140" t="str">
        <f t="shared" si="34"/>
        <v>-</v>
      </c>
      <c r="D182" s="171">
        <f t="shared" si="37"/>
        <v>53</v>
      </c>
      <c r="E182" s="172" t="s">
        <v>180</v>
      </c>
      <c r="F182" s="172" t="s">
        <v>181</v>
      </c>
      <c r="G182" s="143">
        <f t="shared" si="38"/>
        <v>1</v>
      </c>
      <c r="H182" s="9">
        <v>2.2000000000000002</v>
      </c>
      <c r="I182" s="9">
        <v>3.1</v>
      </c>
      <c r="J182" s="9">
        <v>4.4000000000000004</v>
      </c>
      <c r="K182" s="9">
        <v>6.2</v>
      </c>
      <c r="L182" s="9">
        <v>400</v>
      </c>
      <c r="M182" s="9">
        <v>450</v>
      </c>
      <c r="N182" s="168" t="s">
        <v>127</v>
      </c>
      <c r="O182" s="169">
        <v>75</v>
      </c>
      <c r="P182" s="170"/>
      <c r="Q182" s="147">
        <f t="shared" si="35"/>
        <v>4.4775999999999998</v>
      </c>
      <c r="R182" s="140">
        <f t="shared" si="36"/>
        <v>600</v>
      </c>
      <c r="X182" s="140"/>
    </row>
    <row r="183" spans="1:24">
      <c r="A183" s="140" t="str">
        <f t="shared" si="32"/>
        <v>-</v>
      </c>
      <c r="B183" s="140" t="str">
        <f t="shared" si="33"/>
        <v>-</v>
      </c>
      <c r="C183" s="140" t="str">
        <f t="shared" si="34"/>
        <v>-</v>
      </c>
      <c r="D183" s="171">
        <f t="shared" si="37"/>
        <v>54</v>
      </c>
      <c r="E183" s="172" t="s">
        <v>180</v>
      </c>
      <c r="F183" s="172" t="s">
        <v>181</v>
      </c>
      <c r="G183" s="143">
        <f t="shared" si="38"/>
        <v>1</v>
      </c>
      <c r="H183" s="9">
        <v>1.7</v>
      </c>
      <c r="I183" s="9">
        <v>2.8</v>
      </c>
      <c r="J183" s="9">
        <v>3.4</v>
      </c>
      <c r="K183" s="9">
        <v>5.6</v>
      </c>
      <c r="L183" s="9">
        <v>450</v>
      </c>
      <c r="M183" s="9">
        <v>500</v>
      </c>
      <c r="N183" s="168" t="s">
        <v>127</v>
      </c>
      <c r="O183" s="169">
        <v>75</v>
      </c>
      <c r="P183" s="170"/>
      <c r="Q183" s="147">
        <f t="shared" si="35"/>
        <v>4.4775999999999998</v>
      </c>
      <c r="R183" s="140">
        <f t="shared" si="36"/>
        <v>600</v>
      </c>
      <c r="X183" s="140"/>
    </row>
    <row r="184" spans="1:24">
      <c r="A184" s="140" t="str">
        <f t="shared" si="32"/>
        <v>-</v>
      </c>
      <c r="B184" s="140" t="str">
        <f t="shared" si="33"/>
        <v>-</v>
      </c>
      <c r="C184" s="140" t="str">
        <f t="shared" si="34"/>
        <v>-</v>
      </c>
      <c r="D184" s="171">
        <f t="shared" si="37"/>
        <v>55</v>
      </c>
      <c r="E184" s="172" t="s">
        <v>180</v>
      </c>
      <c r="F184" s="172" t="s">
        <v>181</v>
      </c>
      <c r="G184" s="143">
        <f t="shared" si="38"/>
        <v>1</v>
      </c>
      <c r="H184" s="9">
        <v>1.6</v>
      </c>
      <c r="I184" s="9">
        <v>2.6</v>
      </c>
      <c r="J184" s="9">
        <v>3.2</v>
      </c>
      <c r="K184" s="9">
        <v>5.2</v>
      </c>
      <c r="L184" s="9">
        <v>500</v>
      </c>
      <c r="M184" s="9">
        <v>550</v>
      </c>
      <c r="N184" s="168" t="s">
        <v>127</v>
      </c>
      <c r="O184" s="169">
        <v>75</v>
      </c>
      <c r="P184" s="170"/>
      <c r="Q184" s="147">
        <f t="shared" si="35"/>
        <v>4.4775999999999998</v>
      </c>
      <c r="R184" s="140">
        <f t="shared" si="36"/>
        <v>600</v>
      </c>
      <c r="X184" s="140"/>
    </row>
    <row r="185" spans="1:24">
      <c r="A185" s="140" t="str">
        <f t="shared" si="32"/>
        <v>-</v>
      </c>
      <c r="B185" s="140">
        <f t="shared" si="33"/>
        <v>56</v>
      </c>
      <c r="C185" s="140" t="str">
        <f t="shared" si="34"/>
        <v>-</v>
      </c>
      <c r="D185" s="171">
        <f t="shared" si="37"/>
        <v>56</v>
      </c>
      <c r="E185" s="172" t="s">
        <v>180</v>
      </c>
      <c r="F185" s="172" t="s">
        <v>181</v>
      </c>
      <c r="G185" s="143">
        <f t="shared" si="38"/>
        <v>1</v>
      </c>
      <c r="H185" s="9">
        <v>1.2</v>
      </c>
      <c r="I185" s="9">
        <v>2.2999999999999998</v>
      </c>
      <c r="J185" s="9">
        <v>2.4</v>
      </c>
      <c r="K185" s="9">
        <v>4.5999999999999996</v>
      </c>
      <c r="L185" s="9">
        <v>550</v>
      </c>
      <c r="M185" s="9">
        <v>600</v>
      </c>
      <c r="N185" s="168" t="s">
        <v>127</v>
      </c>
      <c r="O185" s="169">
        <v>75</v>
      </c>
      <c r="P185" s="170"/>
      <c r="Q185" s="147">
        <f t="shared" si="35"/>
        <v>4.4775999999999998</v>
      </c>
      <c r="R185" s="140">
        <f t="shared" si="36"/>
        <v>600</v>
      </c>
      <c r="X185" s="140"/>
    </row>
    <row r="186" spans="1:24">
      <c r="A186" s="140" t="str">
        <f t="shared" si="32"/>
        <v>-</v>
      </c>
      <c r="B186" s="140" t="str">
        <f t="shared" si="33"/>
        <v>-</v>
      </c>
      <c r="C186" s="140" t="str">
        <f t="shared" si="34"/>
        <v>-</v>
      </c>
      <c r="D186" s="171">
        <f t="shared" si="37"/>
        <v>57</v>
      </c>
      <c r="E186" s="172" t="s">
        <v>182</v>
      </c>
      <c r="F186" s="172" t="s">
        <v>183</v>
      </c>
      <c r="G186" s="143">
        <f t="shared" si="38"/>
        <v>1</v>
      </c>
      <c r="H186" s="9">
        <v>3.8</v>
      </c>
      <c r="I186" s="9">
        <v>6.5</v>
      </c>
      <c r="J186" s="9">
        <v>7.6</v>
      </c>
      <c r="K186" s="9">
        <v>13</v>
      </c>
      <c r="L186" s="9">
        <v>350</v>
      </c>
      <c r="M186" s="9">
        <v>350</v>
      </c>
      <c r="N186" s="168" t="s">
        <v>128</v>
      </c>
      <c r="O186" s="169">
        <v>75</v>
      </c>
      <c r="P186" s="170"/>
      <c r="Q186" s="147">
        <f t="shared" si="35"/>
        <v>4.4775999999999998</v>
      </c>
      <c r="R186" s="140">
        <f t="shared" si="36"/>
        <v>600</v>
      </c>
      <c r="X186" s="140"/>
    </row>
    <row r="187" spans="1:24">
      <c r="A187" s="140" t="str">
        <f t="shared" si="32"/>
        <v>-</v>
      </c>
      <c r="B187" s="140" t="str">
        <f t="shared" si="33"/>
        <v>-</v>
      </c>
      <c r="C187" s="140" t="str">
        <f t="shared" si="34"/>
        <v>-</v>
      </c>
      <c r="D187" s="171">
        <f t="shared" si="37"/>
        <v>58</v>
      </c>
      <c r="E187" s="172" t="s">
        <v>182</v>
      </c>
      <c r="F187" s="172" t="s">
        <v>183</v>
      </c>
      <c r="G187" s="143">
        <f t="shared" si="38"/>
        <v>1</v>
      </c>
      <c r="H187" s="9">
        <v>3</v>
      </c>
      <c r="I187" s="9">
        <v>5.8</v>
      </c>
      <c r="J187" s="9">
        <v>6</v>
      </c>
      <c r="K187" s="9">
        <v>11.6</v>
      </c>
      <c r="L187" s="9">
        <v>350</v>
      </c>
      <c r="M187" s="9">
        <v>400</v>
      </c>
      <c r="N187" s="168" t="s">
        <v>128</v>
      </c>
      <c r="O187" s="169">
        <v>75</v>
      </c>
      <c r="P187" s="170"/>
      <c r="Q187" s="147">
        <f t="shared" si="35"/>
        <v>4.4775999999999998</v>
      </c>
      <c r="R187" s="140">
        <f t="shared" si="36"/>
        <v>600</v>
      </c>
      <c r="X187" s="140"/>
    </row>
    <row r="188" spans="1:24">
      <c r="A188" s="140" t="str">
        <f t="shared" si="32"/>
        <v>-</v>
      </c>
      <c r="B188" s="140" t="str">
        <f t="shared" si="33"/>
        <v>-</v>
      </c>
      <c r="C188" s="140" t="str">
        <f t="shared" si="34"/>
        <v>-</v>
      </c>
      <c r="D188" s="171">
        <f t="shared" si="37"/>
        <v>59</v>
      </c>
      <c r="E188" s="172" t="s">
        <v>182</v>
      </c>
      <c r="F188" s="172" t="s">
        <v>183</v>
      </c>
      <c r="G188" s="143">
        <f t="shared" si="38"/>
        <v>1</v>
      </c>
      <c r="H188" s="9">
        <v>2.7</v>
      </c>
      <c r="I188" s="9">
        <v>4.5999999999999996</v>
      </c>
      <c r="J188" s="9">
        <v>5.4</v>
      </c>
      <c r="K188" s="9">
        <v>9.1999999999999993</v>
      </c>
      <c r="L188" s="9">
        <v>400</v>
      </c>
      <c r="M188" s="9">
        <v>450</v>
      </c>
      <c r="N188" s="168" t="s">
        <v>128</v>
      </c>
      <c r="O188" s="169">
        <v>75</v>
      </c>
      <c r="P188" s="170"/>
      <c r="Q188" s="147">
        <f t="shared" si="35"/>
        <v>4.4775999999999998</v>
      </c>
      <c r="R188" s="140">
        <f t="shared" si="36"/>
        <v>600</v>
      </c>
      <c r="X188" s="140"/>
    </row>
    <row r="189" spans="1:24">
      <c r="A189" s="140" t="str">
        <f t="shared" si="32"/>
        <v>-</v>
      </c>
      <c r="B189" s="140" t="str">
        <f t="shared" si="33"/>
        <v>-</v>
      </c>
      <c r="C189" s="140" t="str">
        <f t="shared" si="34"/>
        <v>-</v>
      </c>
      <c r="D189" s="171">
        <f t="shared" si="37"/>
        <v>60</v>
      </c>
      <c r="E189" s="172" t="s">
        <v>182</v>
      </c>
      <c r="F189" s="172" t="s">
        <v>183</v>
      </c>
      <c r="G189" s="143">
        <f t="shared" si="38"/>
        <v>1</v>
      </c>
      <c r="H189" s="9">
        <v>2.2999999999999998</v>
      </c>
      <c r="I189" s="9">
        <v>4.5999999999999996</v>
      </c>
      <c r="J189" s="9">
        <v>4.5999999999999996</v>
      </c>
      <c r="K189" s="9">
        <v>9.1999999999999993</v>
      </c>
      <c r="L189" s="9">
        <v>450</v>
      </c>
      <c r="M189" s="9">
        <v>500</v>
      </c>
      <c r="N189" s="168" t="s">
        <v>128</v>
      </c>
      <c r="O189" s="169">
        <v>75</v>
      </c>
      <c r="P189" s="170"/>
      <c r="Q189" s="147">
        <f t="shared" si="35"/>
        <v>4.4775999999999998</v>
      </c>
      <c r="R189" s="140">
        <f t="shared" si="36"/>
        <v>600</v>
      </c>
      <c r="X189" s="140"/>
    </row>
    <row r="190" spans="1:24">
      <c r="A190" s="140" t="str">
        <f t="shared" si="32"/>
        <v>-</v>
      </c>
      <c r="B190" s="140" t="str">
        <f t="shared" si="33"/>
        <v>-</v>
      </c>
      <c r="C190" s="140" t="str">
        <f t="shared" si="34"/>
        <v>-</v>
      </c>
      <c r="D190" s="171">
        <f t="shared" si="37"/>
        <v>61</v>
      </c>
      <c r="E190" s="172" t="s">
        <v>182</v>
      </c>
      <c r="F190" s="172" t="s">
        <v>183</v>
      </c>
      <c r="G190" s="143">
        <f t="shared" si="38"/>
        <v>1</v>
      </c>
      <c r="H190" s="9">
        <v>2.2000000000000002</v>
      </c>
      <c r="I190" s="9">
        <v>4.2</v>
      </c>
      <c r="J190" s="9">
        <v>4.4000000000000004</v>
      </c>
      <c r="K190" s="9">
        <v>8.4</v>
      </c>
      <c r="L190" s="9">
        <v>500</v>
      </c>
      <c r="M190" s="9">
        <v>550</v>
      </c>
      <c r="N190" s="168" t="s">
        <v>128</v>
      </c>
      <c r="O190" s="169">
        <v>75</v>
      </c>
      <c r="P190" s="170"/>
      <c r="Q190" s="147">
        <f t="shared" si="35"/>
        <v>4.4775999999999998</v>
      </c>
      <c r="R190" s="140">
        <f t="shared" si="36"/>
        <v>600</v>
      </c>
      <c r="X190" s="140"/>
    </row>
    <row r="191" spans="1:24">
      <c r="A191" s="140" t="str">
        <f t="shared" si="32"/>
        <v>-</v>
      </c>
      <c r="B191" s="140">
        <f t="shared" si="33"/>
        <v>62</v>
      </c>
      <c r="C191" s="140" t="str">
        <f t="shared" si="34"/>
        <v>-</v>
      </c>
      <c r="D191" s="171">
        <f t="shared" si="37"/>
        <v>62</v>
      </c>
      <c r="E191" s="172" t="s">
        <v>182</v>
      </c>
      <c r="F191" s="172" t="s">
        <v>183</v>
      </c>
      <c r="G191" s="143">
        <f t="shared" si="38"/>
        <v>1</v>
      </c>
      <c r="H191" s="9">
        <v>2.1</v>
      </c>
      <c r="I191" s="9">
        <v>3.9</v>
      </c>
      <c r="J191" s="9">
        <v>4.2</v>
      </c>
      <c r="K191" s="9">
        <v>7.8</v>
      </c>
      <c r="L191" s="9">
        <v>550</v>
      </c>
      <c r="M191" s="9">
        <v>600</v>
      </c>
      <c r="N191" s="168" t="s">
        <v>128</v>
      </c>
      <c r="O191" s="169">
        <v>75</v>
      </c>
      <c r="P191" s="170"/>
      <c r="Q191" s="147">
        <f t="shared" si="35"/>
        <v>4.4775999999999998</v>
      </c>
      <c r="R191" s="140">
        <f t="shared" si="36"/>
        <v>600</v>
      </c>
      <c r="X191" s="140"/>
    </row>
    <row r="192" spans="1:24">
      <c r="A192" s="140" t="str">
        <f t="shared" si="32"/>
        <v>-</v>
      </c>
      <c r="B192" s="140" t="str">
        <f t="shared" si="33"/>
        <v>-</v>
      </c>
      <c r="C192" s="140" t="str">
        <f t="shared" si="34"/>
        <v>-</v>
      </c>
      <c r="D192" s="171">
        <f t="shared" si="37"/>
        <v>63</v>
      </c>
      <c r="E192" s="172" t="s">
        <v>184</v>
      </c>
      <c r="F192" s="172" t="s">
        <v>185</v>
      </c>
      <c r="G192" s="143">
        <f t="shared" si="38"/>
        <v>1</v>
      </c>
      <c r="H192" s="9">
        <v>6.2</v>
      </c>
      <c r="I192" s="9">
        <v>10.9</v>
      </c>
      <c r="J192" s="9">
        <v>12.4</v>
      </c>
      <c r="K192" s="9">
        <v>21.8</v>
      </c>
      <c r="L192" s="9">
        <v>350</v>
      </c>
      <c r="M192" s="9">
        <v>350</v>
      </c>
      <c r="N192" s="168" t="s">
        <v>131</v>
      </c>
      <c r="O192" s="169">
        <v>75</v>
      </c>
      <c r="P192" s="170"/>
      <c r="Q192" s="147">
        <f t="shared" si="35"/>
        <v>4.4775999999999998</v>
      </c>
      <c r="R192" s="140">
        <f t="shared" si="36"/>
        <v>600</v>
      </c>
      <c r="X192" s="140"/>
    </row>
    <row r="193" spans="1:24">
      <c r="A193" s="140" t="str">
        <f t="shared" si="32"/>
        <v>-</v>
      </c>
      <c r="B193" s="140" t="str">
        <f t="shared" si="33"/>
        <v>-</v>
      </c>
      <c r="C193" s="140" t="str">
        <f t="shared" si="34"/>
        <v>-</v>
      </c>
      <c r="D193" s="171">
        <f t="shared" si="37"/>
        <v>64</v>
      </c>
      <c r="E193" s="172" t="s">
        <v>184</v>
      </c>
      <c r="F193" s="172" t="s">
        <v>185</v>
      </c>
      <c r="G193" s="143">
        <f t="shared" si="38"/>
        <v>1</v>
      </c>
      <c r="H193" s="9">
        <v>5.6</v>
      </c>
      <c r="I193" s="9">
        <v>10.199999999999999</v>
      </c>
      <c r="J193" s="9">
        <v>11.2</v>
      </c>
      <c r="K193" s="9">
        <v>20.399999999999999</v>
      </c>
      <c r="L193" s="9">
        <v>350</v>
      </c>
      <c r="M193" s="9">
        <v>400</v>
      </c>
      <c r="N193" s="168" t="s">
        <v>131</v>
      </c>
      <c r="O193" s="169">
        <v>75</v>
      </c>
      <c r="P193" s="170"/>
      <c r="Q193" s="147">
        <f t="shared" si="35"/>
        <v>4.4775999999999998</v>
      </c>
      <c r="R193" s="140">
        <f t="shared" si="36"/>
        <v>600</v>
      </c>
      <c r="X193" s="140"/>
    </row>
    <row r="194" spans="1:24">
      <c r="A194" s="140" t="str">
        <f t="shared" si="32"/>
        <v>-</v>
      </c>
      <c r="B194" s="140" t="str">
        <f t="shared" si="33"/>
        <v>-</v>
      </c>
      <c r="C194" s="140" t="str">
        <f t="shared" si="34"/>
        <v>-</v>
      </c>
      <c r="D194" s="171">
        <f t="shared" si="37"/>
        <v>65</v>
      </c>
      <c r="E194" s="172" t="s">
        <v>184</v>
      </c>
      <c r="F194" s="172" t="s">
        <v>185</v>
      </c>
      <c r="G194" s="143">
        <f t="shared" si="38"/>
        <v>1</v>
      </c>
      <c r="H194" s="9">
        <v>5.5</v>
      </c>
      <c r="I194" s="9">
        <v>9.6999999999999993</v>
      </c>
      <c r="J194" s="9">
        <v>11</v>
      </c>
      <c r="K194" s="9">
        <v>19.399999999999999</v>
      </c>
      <c r="L194" s="9">
        <v>400</v>
      </c>
      <c r="M194" s="9">
        <v>450</v>
      </c>
      <c r="N194" s="168" t="s">
        <v>131</v>
      </c>
      <c r="O194" s="169">
        <v>75</v>
      </c>
      <c r="P194" s="170"/>
      <c r="Q194" s="147">
        <f t="shared" si="35"/>
        <v>4.4775999999999998</v>
      </c>
      <c r="R194" s="140">
        <f t="shared" si="36"/>
        <v>600</v>
      </c>
      <c r="X194" s="140"/>
    </row>
    <row r="195" spans="1:24">
      <c r="A195" s="140" t="str">
        <f t="shared" si="32"/>
        <v>-</v>
      </c>
      <c r="B195" s="140" t="str">
        <f t="shared" si="33"/>
        <v>-</v>
      </c>
      <c r="C195" s="140" t="str">
        <f t="shared" si="34"/>
        <v>-</v>
      </c>
      <c r="D195" s="171">
        <f t="shared" si="37"/>
        <v>66</v>
      </c>
      <c r="E195" s="172" t="s">
        <v>184</v>
      </c>
      <c r="F195" s="172" t="s">
        <v>185</v>
      </c>
      <c r="G195" s="143">
        <f t="shared" si="38"/>
        <v>1</v>
      </c>
      <c r="H195" s="9">
        <v>4.5999999999999996</v>
      </c>
      <c r="I195" s="9">
        <v>8.5</v>
      </c>
      <c r="J195" s="9">
        <v>9.1999999999999993</v>
      </c>
      <c r="K195" s="9">
        <v>17</v>
      </c>
      <c r="L195" s="9">
        <v>450</v>
      </c>
      <c r="M195" s="9">
        <v>500</v>
      </c>
      <c r="N195" s="168" t="s">
        <v>131</v>
      </c>
      <c r="O195" s="169">
        <v>75</v>
      </c>
      <c r="P195" s="170"/>
      <c r="Q195" s="147">
        <f t="shared" si="35"/>
        <v>4.4775999999999998</v>
      </c>
      <c r="R195" s="140">
        <f t="shared" si="36"/>
        <v>600</v>
      </c>
      <c r="X195" s="140"/>
    </row>
    <row r="196" spans="1:24">
      <c r="A196" s="140" t="str">
        <f t="shared" si="32"/>
        <v>-</v>
      </c>
      <c r="B196" s="140" t="str">
        <f t="shared" si="33"/>
        <v>-</v>
      </c>
      <c r="C196" s="140" t="str">
        <f t="shared" si="34"/>
        <v>-</v>
      </c>
      <c r="D196" s="171">
        <f t="shared" si="37"/>
        <v>67</v>
      </c>
      <c r="E196" s="172" t="s">
        <v>184</v>
      </c>
      <c r="F196" s="172" t="s">
        <v>185</v>
      </c>
      <c r="G196" s="143">
        <f t="shared" si="38"/>
        <v>1</v>
      </c>
      <c r="H196" s="9">
        <v>4.0999999999999996</v>
      </c>
      <c r="I196" s="9">
        <v>6.6</v>
      </c>
      <c r="J196" s="9">
        <v>8.1999999999999993</v>
      </c>
      <c r="K196" s="9">
        <v>13.2</v>
      </c>
      <c r="L196" s="9">
        <v>500</v>
      </c>
      <c r="M196" s="9">
        <v>550</v>
      </c>
      <c r="N196" s="168" t="s">
        <v>131</v>
      </c>
      <c r="O196" s="169">
        <v>75</v>
      </c>
      <c r="P196" s="170"/>
      <c r="Q196" s="147">
        <f t="shared" si="35"/>
        <v>4.4775999999999998</v>
      </c>
      <c r="R196" s="140">
        <f t="shared" si="36"/>
        <v>600</v>
      </c>
      <c r="X196" s="140"/>
    </row>
    <row r="197" spans="1:24">
      <c r="A197" s="140">
        <f t="shared" si="32"/>
        <v>68</v>
      </c>
      <c r="B197" s="140">
        <f t="shared" si="33"/>
        <v>68</v>
      </c>
      <c r="C197" s="140">
        <f t="shared" si="34"/>
        <v>68</v>
      </c>
      <c r="D197" s="171">
        <f t="shared" si="37"/>
        <v>68</v>
      </c>
      <c r="E197" s="172" t="s">
        <v>184</v>
      </c>
      <c r="F197" s="172" t="s">
        <v>185</v>
      </c>
      <c r="G197" s="143">
        <f t="shared" si="38"/>
        <v>1</v>
      </c>
      <c r="H197" s="9">
        <v>3.9</v>
      </c>
      <c r="I197" s="9">
        <v>6</v>
      </c>
      <c r="J197" s="9">
        <v>7.8</v>
      </c>
      <c r="K197" s="9">
        <v>12</v>
      </c>
      <c r="L197" s="9">
        <v>550</v>
      </c>
      <c r="M197" s="9">
        <v>600</v>
      </c>
      <c r="N197" s="168" t="s">
        <v>131</v>
      </c>
      <c r="O197" s="169">
        <v>75</v>
      </c>
      <c r="P197" s="170"/>
      <c r="Q197" s="147">
        <f t="shared" si="35"/>
        <v>4.4775999999999998</v>
      </c>
      <c r="R197" s="140">
        <f t="shared" si="36"/>
        <v>600</v>
      </c>
      <c r="X197" s="140"/>
    </row>
    <row r="198" spans="1:24">
      <c r="A198" s="140">
        <f t="shared" si="32"/>
        <v>2069</v>
      </c>
      <c r="B198" s="140">
        <f t="shared" si="33"/>
        <v>2069</v>
      </c>
      <c r="C198" s="140">
        <f t="shared" si="34"/>
        <v>2069</v>
      </c>
      <c r="D198" s="171">
        <f t="shared" si="37"/>
        <v>69</v>
      </c>
      <c r="E198" s="172" t="s">
        <v>342</v>
      </c>
      <c r="F198" s="172" t="s">
        <v>342</v>
      </c>
      <c r="G198" s="143">
        <f t="shared" si="38"/>
        <v>1</v>
      </c>
      <c r="H198" s="9">
        <v>0</v>
      </c>
      <c r="I198" s="9">
        <v>1000</v>
      </c>
      <c r="J198" s="9">
        <v>0</v>
      </c>
      <c r="K198" s="9">
        <v>1000</v>
      </c>
      <c r="L198" s="9">
        <v>0</v>
      </c>
      <c r="M198" s="9">
        <v>2000</v>
      </c>
      <c r="N198" s="168" t="s">
        <v>131</v>
      </c>
      <c r="O198" s="169">
        <v>75</v>
      </c>
      <c r="P198" s="170"/>
      <c r="Q198" s="147">
        <f t="shared" si="35"/>
        <v>4.4775999999999998</v>
      </c>
      <c r="R198" s="140">
        <f t="shared" si="36"/>
        <v>600</v>
      </c>
      <c r="X198" s="140"/>
    </row>
    <row r="200" spans="1:24">
      <c r="M200" s="173">
        <v>320</v>
      </c>
      <c r="O200" s="173">
        <v>650</v>
      </c>
    </row>
    <row r="201" spans="1:24">
      <c r="B201" s="140"/>
      <c r="D201" s="128"/>
      <c r="E201" s="129" t="s">
        <v>40</v>
      </c>
      <c r="F201" s="128" t="s">
        <v>384</v>
      </c>
      <c r="G201" s="149"/>
      <c r="H201" s="131" t="s">
        <v>85</v>
      </c>
      <c r="I201" s="132" t="e">
        <f>#REF!</f>
        <v>#REF!</v>
      </c>
      <c r="J201" s="132"/>
      <c r="K201" s="132"/>
      <c r="L201" s="131" t="s">
        <v>141</v>
      </c>
      <c r="M201" s="132" t="e">
        <f>#REF!</f>
        <v>#REF!</v>
      </c>
      <c r="N201" s="131" t="s">
        <v>218</v>
      </c>
      <c r="O201" s="132" t="e">
        <f>#REF!</f>
        <v>#REF!</v>
      </c>
      <c r="P201" s="131" t="s">
        <v>190</v>
      </c>
      <c r="Q201" s="174" t="e">
        <f>#REF!</f>
        <v>#REF!</v>
      </c>
    </row>
    <row r="202" spans="1:24">
      <c r="A202" s="140">
        <v>1</v>
      </c>
      <c r="B202" s="140">
        <v>2</v>
      </c>
      <c r="C202" s="140"/>
      <c r="D202" s="137" t="s">
        <v>0</v>
      </c>
      <c r="E202" s="137" t="s">
        <v>370</v>
      </c>
      <c r="F202" s="137" t="s">
        <v>371</v>
      </c>
      <c r="G202" s="137" t="s">
        <v>383</v>
      </c>
      <c r="H202" s="138" t="s">
        <v>366</v>
      </c>
      <c r="I202" s="138" t="s">
        <v>367</v>
      </c>
      <c r="J202" s="138" t="s">
        <v>381</v>
      </c>
      <c r="K202" s="138" t="s">
        <v>382</v>
      </c>
      <c r="L202" s="138" t="s">
        <v>368</v>
      </c>
      <c r="M202" s="138" t="s">
        <v>369</v>
      </c>
      <c r="N202" s="138" t="s">
        <v>88</v>
      </c>
      <c r="O202" s="138" t="s">
        <v>363</v>
      </c>
      <c r="P202" s="138" t="s">
        <v>122</v>
      </c>
      <c r="Q202" s="138" t="s">
        <v>85</v>
      </c>
      <c r="R202" s="138" t="s">
        <v>141</v>
      </c>
    </row>
    <row r="203" spans="1:24">
      <c r="A203" s="140" t="str">
        <f>CONCATENATE($F201,"Маркер",A202)</f>
        <v>MXМаркер1</v>
      </c>
      <c r="B203" s="140" t="str">
        <f>CONCATENATE($F201,"Маркер",B202)</f>
        <v>MXМаркер2</v>
      </c>
      <c r="C203" s="140"/>
      <c r="D203" s="137" t="str">
        <f>CONCATENATE($F201,D202)</f>
        <v>MX№</v>
      </c>
      <c r="E203" s="137" t="str">
        <f>CONCATENATE($F201,E202)</f>
        <v>MXАртикулП</v>
      </c>
      <c r="F203" s="137" t="str">
        <f>CONCATENATE($F201,F202)</f>
        <v>MXАртикулЛ</v>
      </c>
      <c r="G203" s="137" t="str">
        <f>CONCATENATE($F201,G202)</f>
        <v>MXКолвоM</v>
      </c>
      <c r="H203" s="137" t="str">
        <f>CONCATENATE($F201,H202)</f>
        <v>MXВеСот</v>
      </c>
      <c r="I203" s="137" t="str">
        <f t="shared" ref="I203:N203" si="39">CONCATENATE($F201,I202)</f>
        <v>MXВеСдо</v>
      </c>
      <c r="J203" s="137" t="str">
        <f t="shared" si="39"/>
        <v>MXВеСот2</v>
      </c>
      <c r="K203" s="137" t="str">
        <f t="shared" si="39"/>
        <v>MXВеСдо2</v>
      </c>
      <c r="L203" s="137" t="str">
        <f t="shared" si="39"/>
        <v>MXВыСот</v>
      </c>
      <c r="M203" s="137" t="str">
        <f t="shared" si="39"/>
        <v>MXВыСдо</v>
      </c>
      <c r="N203" s="137" t="str">
        <f t="shared" si="39"/>
        <v>MXмеханизм</v>
      </c>
      <c r="O203" s="139"/>
      <c r="P203" s="139"/>
      <c r="Q203" s="139"/>
      <c r="R203" s="139"/>
      <c r="T203" s="9" t="s">
        <v>385</v>
      </c>
    </row>
    <row r="204" spans="1:24">
      <c r="A204" s="140" t="e">
        <f>IF(AND(MXВысота&gt;=MXВыСот,MXВысота&lt;=MXВыСдо,MXВес&gt;=MXВеСот,MXВес&lt;=MXВеСдо),IF(MXВыСдо&lt;2000,MX№,MX№+2000),"-")</f>
        <v>#REF!</v>
      </c>
      <c r="B204" s="140" t="e">
        <f>IF(AND(MXВысота&gt;=MXВыСот,MXВысота&lt;=MXВыСдо,MXВес&gt;=$J204,MXВес&lt;=MXВеСдо2),IF(MXВыСдо&lt;2000,MX№,MX№+2000),IF(MXВыСдо&lt;2000,IF(AND(MXВысота&gt;=MXВыСот,MXВысота&lt;=MXВыСдо,MXВес&gt;=$H204,MXВес&lt;=MXВеСдо2),A204,"-")))</f>
        <v>#REF!</v>
      </c>
      <c r="C204" s="140" t="e">
        <f t="shared" ref="C204:C268" si="40">IF(G204=1,A204,B204)</f>
        <v>#REF!</v>
      </c>
      <c r="D204" s="142">
        <v>1</v>
      </c>
      <c r="E204" s="175" t="s">
        <v>41</v>
      </c>
      <c r="F204" s="175"/>
      <c r="G204" s="175" t="e">
        <f t="shared" ref="G204:G236" si="41">IF($O$201&lt;=600,IF(SMALL($A$204:$A$236,1)&lt;2000,1,2),IF(AND($M$201&lt;=$M$200,$O$201&lt;=$O$200),1,2))</f>
        <v>#REF!</v>
      </c>
      <c r="H204" s="9">
        <v>2.4</v>
      </c>
      <c r="I204" s="9">
        <v>4</v>
      </c>
      <c r="J204" s="176">
        <v>4.8</v>
      </c>
      <c r="K204" s="176">
        <v>8</v>
      </c>
      <c r="L204" s="9">
        <v>300</v>
      </c>
      <c r="M204" s="9">
        <v>300</v>
      </c>
      <c r="N204" s="177" t="s">
        <v>127</v>
      </c>
      <c r="O204" s="178">
        <v>110</v>
      </c>
      <c r="P204" s="7"/>
      <c r="Q204" s="179" t="e">
        <f t="shared" ref="Q204:Q235" si="42">MXВес</f>
        <v>#REF!</v>
      </c>
      <c r="R204" s="180" t="e">
        <f t="shared" ref="R204:R235" si="43">MXВысота</f>
        <v>#REF!</v>
      </c>
    </row>
    <row r="205" spans="1:24">
      <c r="A205" s="140" t="e">
        <f t="shared" ref="A205:A268" si="44">IF(AND($R205&gt;=$L205,$R205&lt;=$M205,$Q205&gt;=$H205,$Q205&lt;=$I205),IF(M205&lt;2000,D205,D205+2000),"-")</f>
        <v>#REF!</v>
      </c>
      <c r="B205" s="140" t="e">
        <f t="shared" ref="B205:B267" si="45">IF(AND($R205&gt;=$L205,$R205&lt;=$M205,$Q205&gt;=$J205,$Q205&lt;=$K205),IF(M205&lt;2000,D205,D205+2000),IF(M205&lt;2000,IF(AND($R205&gt;=$L205,$R205&lt;=$M205,$Q205&gt;=$H205,$Q205&lt;=$K205),A205,"-")))</f>
        <v>#REF!</v>
      </c>
      <c r="C205" s="140" t="e">
        <f t="shared" si="40"/>
        <v>#REF!</v>
      </c>
      <c r="D205" s="142">
        <f>D204+1</f>
        <v>2</v>
      </c>
      <c r="E205" s="175" t="s">
        <v>41</v>
      </c>
      <c r="F205" s="175"/>
      <c r="G205" s="175" t="e">
        <f t="shared" si="41"/>
        <v>#REF!</v>
      </c>
      <c r="H205" s="9">
        <v>1.8</v>
      </c>
      <c r="I205" s="9">
        <v>3</v>
      </c>
      <c r="J205" s="176">
        <v>3.6</v>
      </c>
      <c r="K205" s="176">
        <v>6</v>
      </c>
      <c r="L205" s="9">
        <v>300</v>
      </c>
      <c r="M205" s="9">
        <v>400</v>
      </c>
      <c r="N205" s="177" t="s">
        <v>127</v>
      </c>
      <c r="O205" s="178">
        <v>110</v>
      </c>
      <c r="P205" s="7"/>
      <c r="Q205" s="179" t="e">
        <f t="shared" si="42"/>
        <v>#REF!</v>
      </c>
      <c r="R205" s="180" t="e">
        <f t="shared" si="43"/>
        <v>#REF!</v>
      </c>
    </row>
    <row r="206" spans="1:24">
      <c r="A206" s="140" t="e">
        <f t="shared" si="44"/>
        <v>#REF!</v>
      </c>
      <c r="B206" s="140" t="e">
        <f t="shared" si="45"/>
        <v>#REF!</v>
      </c>
      <c r="C206" s="140" t="e">
        <f t="shared" si="40"/>
        <v>#REF!</v>
      </c>
      <c r="D206" s="142">
        <f t="shared" ref="D206:D269" si="46">D205+1</f>
        <v>3</v>
      </c>
      <c r="E206" s="175" t="s">
        <v>41</v>
      </c>
      <c r="F206" s="175"/>
      <c r="G206" s="175" t="e">
        <f t="shared" si="41"/>
        <v>#REF!</v>
      </c>
      <c r="H206" s="9">
        <v>1.4</v>
      </c>
      <c r="I206" s="9">
        <v>2.4</v>
      </c>
      <c r="J206" s="176">
        <v>2.8</v>
      </c>
      <c r="K206" s="176">
        <v>4.8</v>
      </c>
      <c r="L206" s="9">
        <v>400</v>
      </c>
      <c r="M206" s="9">
        <v>500</v>
      </c>
      <c r="N206" s="177" t="s">
        <v>127</v>
      </c>
      <c r="O206" s="178">
        <v>110</v>
      </c>
      <c r="P206" s="7"/>
      <c r="Q206" s="179" t="e">
        <f t="shared" si="42"/>
        <v>#REF!</v>
      </c>
      <c r="R206" s="180" t="e">
        <f t="shared" si="43"/>
        <v>#REF!</v>
      </c>
      <c r="X206" s="140"/>
    </row>
    <row r="207" spans="1:24">
      <c r="A207" s="140" t="e">
        <f t="shared" si="44"/>
        <v>#REF!</v>
      </c>
      <c r="B207" s="140" t="e">
        <f t="shared" si="45"/>
        <v>#REF!</v>
      </c>
      <c r="C207" s="140" t="e">
        <f t="shared" si="40"/>
        <v>#REF!</v>
      </c>
      <c r="D207" s="142">
        <f t="shared" si="46"/>
        <v>4</v>
      </c>
      <c r="E207" s="175" t="s">
        <v>41</v>
      </c>
      <c r="F207" s="175"/>
      <c r="G207" s="175" t="e">
        <f t="shared" si="41"/>
        <v>#REF!</v>
      </c>
      <c r="H207" s="9">
        <v>1.2</v>
      </c>
      <c r="I207" s="9">
        <v>2</v>
      </c>
      <c r="J207" s="176">
        <v>2.4</v>
      </c>
      <c r="K207" s="176">
        <v>4</v>
      </c>
      <c r="L207" s="9">
        <v>500</v>
      </c>
      <c r="M207" s="9">
        <v>600</v>
      </c>
      <c r="N207" s="177" t="s">
        <v>127</v>
      </c>
      <c r="O207" s="178">
        <v>110</v>
      </c>
      <c r="P207" s="7"/>
      <c r="Q207" s="179" t="e">
        <f t="shared" si="42"/>
        <v>#REF!</v>
      </c>
      <c r="R207" s="180" t="e">
        <f t="shared" si="43"/>
        <v>#REF!</v>
      </c>
      <c r="X207" s="140"/>
    </row>
    <row r="208" spans="1:24">
      <c r="A208" s="140" t="e">
        <f t="shared" si="44"/>
        <v>#REF!</v>
      </c>
      <c r="B208" s="140" t="e">
        <f t="shared" si="45"/>
        <v>#REF!</v>
      </c>
      <c r="C208" s="140" t="e">
        <f t="shared" si="40"/>
        <v>#REF!</v>
      </c>
      <c r="D208" s="142">
        <f t="shared" si="46"/>
        <v>5</v>
      </c>
      <c r="E208" s="175" t="s">
        <v>41</v>
      </c>
      <c r="F208" s="175"/>
      <c r="G208" s="175" t="e">
        <f t="shared" si="41"/>
        <v>#REF!</v>
      </c>
      <c r="H208" s="9">
        <v>1</v>
      </c>
      <c r="I208" s="9">
        <v>1.7</v>
      </c>
      <c r="J208" s="176">
        <v>2</v>
      </c>
      <c r="K208" s="176">
        <v>3.4</v>
      </c>
      <c r="L208" s="9">
        <v>600</v>
      </c>
      <c r="M208" s="9">
        <v>700</v>
      </c>
      <c r="N208" s="177" t="s">
        <v>127</v>
      </c>
      <c r="O208" s="178">
        <v>110</v>
      </c>
      <c r="P208" s="7"/>
      <c r="Q208" s="179" t="e">
        <f t="shared" si="42"/>
        <v>#REF!</v>
      </c>
      <c r="R208" s="180" t="e">
        <f t="shared" si="43"/>
        <v>#REF!</v>
      </c>
      <c r="X208" s="140"/>
    </row>
    <row r="209" spans="1:24">
      <c r="A209" s="140" t="e">
        <f t="shared" si="44"/>
        <v>#REF!</v>
      </c>
      <c r="B209" s="140" t="e">
        <f t="shared" si="45"/>
        <v>#REF!</v>
      </c>
      <c r="C209" s="140" t="e">
        <f t="shared" si="40"/>
        <v>#REF!</v>
      </c>
      <c r="D209" s="142">
        <f t="shared" si="46"/>
        <v>6</v>
      </c>
      <c r="E209" s="175" t="s">
        <v>41</v>
      </c>
      <c r="F209" s="175"/>
      <c r="G209" s="175" t="e">
        <f t="shared" si="41"/>
        <v>#REF!</v>
      </c>
      <c r="H209" s="9">
        <v>0.9</v>
      </c>
      <c r="I209" s="9">
        <v>1.4</v>
      </c>
      <c r="J209" s="176">
        <v>1.8</v>
      </c>
      <c r="K209" s="176">
        <v>2.8</v>
      </c>
      <c r="L209" s="9">
        <v>700</v>
      </c>
      <c r="M209" s="9">
        <v>800</v>
      </c>
      <c r="N209" s="177" t="s">
        <v>127</v>
      </c>
      <c r="O209" s="178">
        <v>110</v>
      </c>
      <c r="P209" s="7"/>
      <c r="Q209" s="179" t="e">
        <f t="shared" si="42"/>
        <v>#REF!</v>
      </c>
      <c r="R209" s="180" t="e">
        <f t="shared" si="43"/>
        <v>#REF!</v>
      </c>
      <c r="X209" s="140"/>
    </row>
    <row r="210" spans="1:24">
      <c r="A210" s="140" t="e">
        <f t="shared" si="44"/>
        <v>#REF!</v>
      </c>
      <c r="B210" s="140" t="e">
        <f t="shared" si="45"/>
        <v>#REF!</v>
      </c>
      <c r="C210" s="140" t="e">
        <f t="shared" si="40"/>
        <v>#REF!</v>
      </c>
      <c r="D210" s="142">
        <f t="shared" si="46"/>
        <v>7</v>
      </c>
      <c r="E210" s="175" t="s">
        <v>41</v>
      </c>
      <c r="F210" s="175"/>
      <c r="G210" s="175" t="e">
        <f t="shared" si="41"/>
        <v>#REF!</v>
      </c>
      <c r="H210" s="9">
        <v>0.8</v>
      </c>
      <c r="I210" s="9">
        <v>1.3</v>
      </c>
      <c r="J210" s="176">
        <v>1.6</v>
      </c>
      <c r="K210" s="176">
        <v>2.6</v>
      </c>
      <c r="L210" s="9">
        <v>800</v>
      </c>
      <c r="M210" s="9">
        <v>900</v>
      </c>
      <c r="N210" s="177" t="s">
        <v>127</v>
      </c>
      <c r="O210" s="178">
        <v>110</v>
      </c>
      <c r="P210" s="7"/>
      <c r="Q210" s="179" t="e">
        <f t="shared" si="42"/>
        <v>#REF!</v>
      </c>
      <c r="R210" s="180" t="e">
        <f t="shared" si="43"/>
        <v>#REF!</v>
      </c>
      <c r="X210" s="140"/>
    </row>
    <row r="211" spans="1:24">
      <c r="A211" s="140" t="e">
        <f t="shared" si="44"/>
        <v>#REF!</v>
      </c>
      <c r="B211" s="140" t="e">
        <f t="shared" si="45"/>
        <v>#REF!</v>
      </c>
      <c r="C211" s="140" t="e">
        <f t="shared" si="40"/>
        <v>#REF!</v>
      </c>
      <c r="D211" s="142">
        <f t="shared" si="46"/>
        <v>8</v>
      </c>
      <c r="E211" s="175" t="s">
        <v>41</v>
      </c>
      <c r="F211" s="175"/>
      <c r="G211" s="175" t="e">
        <f t="shared" si="41"/>
        <v>#REF!</v>
      </c>
      <c r="H211" s="9">
        <v>0.7</v>
      </c>
      <c r="I211" s="9">
        <v>1.2</v>
      </c>
      <c r="J211" s="176">
        <v>1.4</v>
      </c>
      <c r="K211" s="176">
        <v>2.4</v>
      </c>
      <c r="L211" s="9">
        <v>900</v>
      </c>
      <c r="M211" s="9">
        <v>1000</v>
      </c>
      <c r="N211" s="177" t="s">
        <v>127</v>
      </c>
      <c r="O211" s="178">
        <v>110</v>
      </c>
      <c r="P211" s="7"/>
      <c r="Q211" s="179" t="e">
        <f t="shared" si="42"/>
        <v>#REF!</v>
      </c>
      <c r="R211" s="180" t="e">
        <f t="shared" si="43"/>
        <v>#REF!</v>
      </c>
      <c r="X211" s="140"/>
    </row>
    <row r="212" spans="1:24">
      <c r="A212" s="140" t="e">
        <f t="shared" si="44"/>
        <v>#REF!</v>
      </c>
      <c r="B212" s="140" t="e">
        <f t="shared" si="45"/>
        <v>#REF!</v>
      </c>
      <c r="C212" s="140" t="e">
        <f t="shared" si="40"/>
        <v>#REF!</v>
      </c>
      <c r="D212" s="142">
        <f t="shared" si="46"/>
        <v>9</v>
      </c>
      <c r="E212" s="175" t="s">
        <v>145</v>
      </c>
      <c r="F212" s="175"/>
      <c r="G212" s="175" t="e">
        <f t="shared" si="41"/>
        <v>#REF!</v>
      </c>
      <c r="H212" s="9">
        <v>3.9</v>
      </c>
      <c r="I212" s="9">
        <v>7.5</v>
      </c>
      <c r="J212" s="176">
        <v>7.8</v>
      </c>
      <c r="K212" s="176">
        <v>15</v>
      </c>
      <c r="L212" s="9">
        <v>300</v>
      </c>
      <c r="M212" s="9">
        <v>300</v>
      </c>
      <c r="N212" s="177" t="s">
        <v>128</v>
      </c>
      <c r="O212" s="178">
        <v>110</v>
      </c>
      <c r="P212" s="7"/>
      <c r="Q212" s="179" t="e">
        <f t="shared" si="42"/>
        <v>#REF!</v>
      </c>
      <c r="R212" s="180" t="e">
        <f t="shared" si="43"/>
        <v>#REF!</v>
      </c>
      <c r="X212" s="140"/>
    </row>
    <row r="213" spans="1:24">
      <c r="A213" s="140" t="e">
        <f t="shared" si="44"/>
        <v>#REF!</v>
      </c>
      <c r="B213" s="140" t="e">
        <f t="shared" si="45"/>
        <v>#REF!</v>
      </c>
      <c r="C213" s="140" t="e">
        <f t="shared" si="40"/>
        <v>#REF!</v>
      </c>
      <c r="D213" s="142">
        <f t="shared" si="46"/>
        <v>10</v>
      </c>
      <c r="E213" s="175" t="s">
        <v>145</v>
      </c>
      <c r="F213" s="175"/>
      <c r="G213" s="175" t="e">
        <f t="shared" si="41"/>
        <v>#REF!</v>
      </c>
      <c r="H213" s="9">
        <v>2.9</v>
      </c>
      <c r="I213" s="9">
        <v>5.6</v>
      </c>
      <c r="J213" s="176">
        <v>5.8</v>
      </c>
      <c r="K213" s="176">
        <v>11.2</v>
      </c>
      <c r="L213" s="9">
        <v>300</v>
      </c>
      <c r="M213" s="9">
        <v>400</v>
      </c>
      <c r="N213" s="177" t="s">
        <v>128</v>
      </c>
      <c r="O213" s="178">
        <v>110</v>
      </c>
      <c r="P213" s="7"/>
      <c r="Q213" s="179" t="e">
        <f t="shared" si="42"/>
        <v>#REF!</v>
      </c>
      <c r="R213" s="180" t="e">
        <f t="shared" si="43"/>
        <v>#REF!</v>
      </c>
      <c r="X213" s="140"/>
    </row>
    <row r="214" spans="1:24">
      <c r="A214" s="140" t="e">
        <f t="shared" si="44"/>
        <v>#REF!</v>
      </c>
      <c r="B214" s="140" t="e">
        <f t="shared" si="45"/>
        <v>#REF!</v>
      </c>
      <c r="C214" s="140" t="e">
        <f t="shared" si="40"/>
        <v>#REF!</v>
      </c>
      <c r="D214" s="142">
        <f t="shared" si="46"/>
        <v>11</v>
      </c>
      <c r="E214" s="175" t="s">
        <v>145</v>
      </c>
      <c r="F214" s="175"/>
      <c r="G214" s="175" t="e">
        <f t="shared" si="41"/>
        <v>#REF!</v>
      </c>
      <c r="H214" s="9">
        <v>2.4</v>
      </c>
      <c r="I214" s="9">
        <v>4.5</v>
      </c>
      <c r="J214" s="176">
        <v>4.8</v>
      </c>
      <c r="K214" s="176">
        <v>9</v>
      </c>
      <c r="L214" s="9">
        <v>400</v>
      </c>
      <c r="M214" s="9">
        <v>500</v>
      </c>
      <c r="N214" s="177" t="s">
        <v>128</v>
      </c>
      <c r="O214" s="178">
        <v>110</v>
      </c>
      <c r="P214" s="7"/>
      <c r="Q214" s="179" t="e">
        <f t="shared" si="42"/>
        <v>#REF!</v>
      </c>
      <c r="R214" s="180" t="e">
        <f t="shared" si="43"/>
        <v>#REF!</v>
      </c>
      <c r="X214" s="140"/>
    </row>
    <row r="215" spans="1:24">
      <c r="A215" s="140" t="e">
        <f t="shared" si="44"/>
        <v>#REF!</v>
      </c>
      <c r="B215" s="140" t="e">
        <f t="shared" si="45"/>
        <v>#REF!</v>
      </c>
      <c r="C215" s="140" t="e">
        <f t="shared" si="40"/>
        <v>#REF!</v>
      </c>
      <c r="D215" s="142">
        <f t="shared" si="46"/>
        <v>12</v>
      </c>
      <c r="E215" s="175" t="s">
        <v>145</v>
      </c>
      <c r="F215" s="175"/>
      <c r="G215" s="175" t="e">
        <f t="shared" si="41"/>
        <v>#REF!</v>
      </c>
      <c r="H215" s="9">
        <v>1.9</v>
      </c>
      <c r="I215" s="9">
        <v>3.8</v>
      </c>
      <c r="J215" s="176">
        <v>3.8</v>
      </c>
      <c r="K215" s="176">
        <v>7.6</v>
      </c>
      <c r="L215" s="9">
        <v>500</v>
      </c>
      <c r="M215" s="9">
        <v>600</v>
      </c>
      <c r="N215" s="177" t="s">
        <v>128</v>
      </c>
      <c r="O215" s="178">
        <v>110</v>
      </c>
      <c r="P215" s="7"/>
      <c r="Q215" s="179" t="e">
        <f t="shared" si="42"/>
        <v>#REF!</v>
      </c>
      <c r="R215" s="180" t="e">
        <f t="shared" si="43"/>
        <v>#REF!</v>
      </c>
      <c r="X215" s="140"/>
    </row>
    <row r="216" spans="1:24">
      <c r="A216" s="140" t="e">
        <f t="shared" si="44"/>
        <v>#REF!</v>
      </c>
      <c r="B216" s="140" t="e">
        <f t="shared" si="45"/>
        <v>#REF!</v>
      </c>
      <c r="C216" s="140" t="e">
        <f t="shared" si="40"/>
        <v>#REF!</v>
      </c>
      <c r="D216" s="142">
        <f t="shared" si="46"/>
        <v>13</v>
      </c>
      <c r="E216" s="175" t="s">
        <v>145</v>
      </c>
      <c r="F216" s="175"/>
      <c r="G216" s="175" t="e">
        <f t="shared" si="41"/>
        <v>#REF!</v>
      </c>
      <c r="H216" s="9">
        <v>1.7</v>
      </c>
      <c r="I216" s="9">
        <v>3.1</v>
      </c>
      <c r="J216" s="176">
        <v>3.4</v>
      </c>
      <c r="K216" s="176">
        <v>6.2</v>
      </c>
      <c r="L216" s="9">
        <v>600</v>
      </c>
      <c r="M216" s="9">
        <v>700</v>
      </c>
      <c r="N216" s="177" t="s">
        <v>128</v>
      </c>
      <c r="O216" s="178">
        <v>110</v>
      </c>
      <c r="P216" s="7"/>
      <c r="Q216" s="179" t="e">
        <f t="shared" si="42"/>
        <v>#REF!</v>
      </c>
      <c r="R216" s="180" t="e">
        <f t="shared" si="43"/>
        <v>#REF!</v>
      </c>
      <c r="X216" s="140"/>
    </row>
    <row r="217" spans="1:24">
      <c r="A217" s="140" t="e">
        <f t="shared" si="44"/>
        <v>#REF!</v>
      </c>
      <c r="B217" s="140" t="e">
        <f t="shared" si="45"/>
        <v>#REF!</v>
      </c>
      <c r="C217" s="140" t="e">
        <f t="shared" si="40"/>
        <v>#REF!</v>
      </c>
      <c r="D217" s="142">
        <f t="shared" si="46"/>
        <v>14</v>
      </c>
      <c r="E217" s="175" t="s">
        <v>145</v>
      </c>
      <c r="F217" s="175"/>
      <c r="G217" s="175" t="e">
        <f t="shared" si="41"/>
        <v>#REF!</v>
      </c>
      <c r="H217" s="9">
        <v>1.4</v>
      </c>
      <c r="I217" s="9">
        <v>2.8</v>
      </c>
      <c r="J217" s="176">
        <v>2.8</v>
      </c>
      <c r="K217" s="176">
        <v>5.6</v>
      </c>
      <c r="L217" s="9">
        <v>700</v>
      </c>
      <c r="M217" s="9">
        <v>800</v>
      </c>
      <c r="N217" s="177" t="s">
        <v>128</v>
      </c>
      <c r="O217" s="178">
        <v>110</v>
      </c>
      <c r="P217" s="7"/>
      <c r="Q217" s="179" t="e">
        <f t="shared" si="42"/>
        <v>#REF!</v>
      </c>
      <c r="R217" s="180" t="e">
        <f t="shared" si="43"/>
        <v>#REF!</v>
      </c>
      <c r="X217" s="140"/>
    </row>
    <row r="218" spans="1:24">
      <c r="A218" s="140" t="e">
        <f t="shared" si="44"/>
        <v>#REF!</v>
      </c>
      <c r="B218" s="140" t="e">
        <f t="shared" si="45"/>
        <v>#REF!</v>
      </c>
      <c r="C218" s="140" t="e">
        <f t="shared" si="40"/>
        <v>#REF!</v>
      </c>
      <c r="D218" s="142">
        <f t="shared" si="46"/>
        <v>15</v>
      </c>
      <c r="E218" s="175" t="s">
        <v>145</v>
      </c>
      <c r="F218" s="175"/>
      <c r="G218" s="175" t="e">
        <f t="shared" si="41"/>
        <v>#REF!</v>
      </c>
      <c r="H218" s="9">
        <v>1.3</v>
      </c>
      <c r="I218" s="9">
        <v>2.5</v>
      </c>
      <c r="J218" s="176">
        <v>2.6</v>
      </c>
      <c r="K218" s="176">
        <v>5</v>
      </c>
      <c r="L218" s="9">
        <v>800</v>
      </c>
      <c r="M218" s="9">
        <v>900</v>
      </c>
      <c r="N218" s="177" t="s">
        <v>128</v>
      </c>
      <c r="O218" s="178">
        <v>110</v>
      </c>
      <c r="P218" s="7"/>
      <c r="Q218" s="179" t="e">
        <f t="shared" si="42"/>
        <v>#REF!</v>
      </c>
      <c r="R218" s="180" t="e">
        <f t="shared" si="43"/>
        <v>#REF!</v>
      </c>
      <c r="X218" s="140"/>
    </row>
    <row r="219" spans="1:24">
      <c r="A219" s="140" t="e">
        <f t="shared" si="44"/>
        <v>#REF!</v>
      </c>
      <c r="B219" s="140" t="e">
        <f t="shared" si="45"/>
        <v>#REF!</v>
      </c>
      <c r="C219" s="140" t="e">
        <f t="shared" si="40"/>
        <v>#REF!</v>
      </c>
      <c r="D219" s="142">
        <f t="shared" si="46"/>
        <v>16</v>
      </c>
      <c r="E219" s="175" t="s">
        <v>145</v>
      </c>
      <c r="F219" s="175"/>
      <c r="G219" s="175" t="e">
        <f t="shared" si="41"/>
        <v>#REF!</v>
      </c>
      <c r="H219" s="9">
        <v>1.1000000000000001</v>
      </c>
      <c r="I219" s="9">
        <v>2.2000000000000002</v>
      </c>
      <c r="J219" s="176">
        <v>2.2000000000000002</v>
      </c>
      <c r="K219" s="176">
        <v>4.4000000000000004</v>
      </c>
      <c r="L219" s="9">
        <v>900</v>
      </c>
      <c r="M219" s="9">
        <v>1000</v>
      </c>
      <c r="N219" s="177" t="s">
        <v>128</v>
      </c>
      <c r="O219" s="178">
        <v>110</v>
      </c>
      <c r="P219" s="7"/>
      <c r="Q219" s="179" t="e">
        <f t="shared" si="42"/>
        <v>#REF!</v>
      </c>
      <c r="R219" s="180" t="e">
        <f t="shared" si="43"/>
        <v>#REF!</v>
      </c>
      <c r="X219" s="140"/>
    </row>
    <row r="220" spans="1:24">
      <c r="A220" s="140" t="e">
        <f t="shared" si="44"/>
        <v>#REF!</v>
      </c>
      <c r="B220" s="140" t="e">
        <f t="shared" si="45"/>
        <v>#REF!</v>
      </c>
      <c r="C220" s="140" t="e">
        <f t="shared" si="40"/>
        <v>#REF!</v>
      </c>
      <c r="D220" s="142">
        <f t="shared" si="46"/>
        <v>17</v>
      </c>
      <c r="E220" s="175" t="s">
        <v>146</v>
      </c>
      <c r="F220" s="175"/>
      <c r="G220" s="175" t="e">
        <f t="shared" si="41"/>
        <v>#REF!</v>
      </c>
      <c r="H220" s="9">
        <v>6.8</v>
      </c>
      <c r="I220" s="9">
        <v>11.6</v>
      </c>
      <c r="J220" s="176">
        <v>13.6</v>
      </c>
      <c r="K220" s="176">
        <v>23.2</v>
      </c>
      <c r="L220" s="9">
        <v>300</v>
      </c>
      <c r="M220" s="9">
        <v>300</v>
      </c>
      <c r="N220" s="177" t="s">
        <v>129</v>
      </c>
      <c r="O220" s="178">
        <v>110</v>
      </c>
      <c r="P220" s="7"/>
      <c r="Q220" s="179" t="e">
        <f t="shared" si="42"/>
        <v>#REF!</v>
      </c>
      <c r="R220" s="180" t="e">
        <f t="shared" si="43"/>
        <v>#REF!</v>
      </c>
      <c r="X220" s="140"/>
    </row>
    <row r="221" spans="1:24">
      <c r="A221" s="140" t="e">
        <f t="shared" si="44"/>
        <v>#REF!</v>
      </c>
      <c r="B221" s="140" t="e">
        <f t="shared" si="45"/>
        <v>#REF!</v>
      </c>
      <c r="C221" s="140" t="e">
        <f t="shared" si="40"/>
        <v>#REF!</v>
      </c>
      <c r="D221" s="142">
        <f t="shared" si="46"/>
        <v>18</v>
      </c>
      <c r="E221" s="175" t="s">
        <v>146</v>
      </c>
      <c r="F221" s="175"/>
      <c r="G221" s="175" t="e">
        <f t="shared" si="41"/>
        <v>#REF!</v>
      </c>
      <c r="H221" s="9">
        <v>5.0999999999999996</v>
      </c>
      <c r="I221" s="9">
        <v>8.6999999999999993</v>
      </c>
      <c r="J221" s="176">
        <v>10.199999999999999</v>
      </c>
      <c r="K221" s="176">
        <v>17.399999999999999</v>
      </c>
      <c r="L221" s="9">
        <v>300</v>
      </c>
      <c r="M221" s="9">
        <v>400</v>
      </c>
      <c r="N221" s="177" t="s">
        <v>129</v>
      </c>
      <c r="O221" s="178">
        <v>110</v>
      </c>
      <c r="P221" s="7"/>
      <c r="Q221" s="179" t="e">
        <f t="shared" si="42"/>
        <v>#REF!</v>
      </c>
      <c r="R221" s="180" t="e">
        <f t="shared" si="43"/>
        <v>#REF!</v>
      </c>
      <c r="X221" s="140"/>
    </row>
    <row r="222" spans="1:24">
      <c r="A222" s="140" t="e">
        <f t="shared" si="44"/>
        <v>#REF!</v>
      </c>
      <c r="B222" s="140" t="e">
        <f t="shared" si="45"/>
        <v>#REF!</v>
      </c>
      <c r="C222" s="140" t="e">
        <f t="shared" si="40"/>
        <v>#REF!</v>
      </c>
      <c r="D222" s="142">
        <f t="shared" si="46"/>
        <v>19</v>
      </c>
      <c r="E222" s="175" t="s">
        <v>146</v>
      </c>
      <c r="F222" s="175"/>
      <c r="G222" s="175" t="e">
        <f t="shared" si="41"/>
        <v>#REF!</v>
      </c>
      <c r="H222" s="9">
        <v>4</v>
      </c>
      <c r="I222" s="9">
        <v>7.1</v>
      </c>
      <c r="J222" s="176">
        <v>8</v>
      </c>
      <c r="K222" s="176">
        <v>14.2</v>
      </c>
      <c r="L222" s="9">
        <v>400</v>
      </c>
      <c r="M222" s="9">
        <v>500</v>
      </c>
      <c r="N222" s="177" t="s">
        <v>129</v>
      </c>
      <c r="O222" s="178">
        <v>110</v>
      </c>
      <c r="P222" s="7"/>
      <c r="Q222" s="179" t="e">
        <f t="shared" si="42"/>
        <v>#REF!</v>
      </c>
      <c r="R222" s="180" t="e">
        <f t="shared" si="43"/>
        <v>#REF!</v>
      </c>
      <c r="X222" s="140"/>
    </row>
    <row r="223" spans="1:24">
      <c r="A223" s="140" t="e">
        <f t="shared" si="44"/>
        <v>#REF!</v>
      </c>
      <c r="B223" s="140" t="e">
        <f t="shared" si="45"/>
        <v>#REF!</v>
      </c>
      <c r="C223" s="140" t="e">
        <f t="shared" si="40"/>
        <v>#REF!</v>
      </c>
      <c r="D223" s="142">
        <f t="shared" si="46"/>
        <v>20</v>
      </c>
      <c r="E223" s="175" t="s">
        <v>146</v>
      </c>
      <c r="F223" s="175"/>
      <c r="G223" s="175" t="e">
        <f t="shared" si="41"/>
        <v>#REF!</v>
      </c>
      <c r="H223" s="9">
        <v>3.3</v>
      </c>
      <c r="I223" s="9">
        <v>5.9</v>
      </c>
      <c r="J223" s="176">
        <v>6.6</v>
      </c>
      <c r="K223" s="176">
        <v>11.8</v>
      </c>
      <c r="L223" s="9">
        <v>500</v>
      </c>
      <c r="M223" s="9">
        <v>600</v>
      </c>
      <c r="N223" s="177" t="s">
        <v>129</v>
      </c>
      <c r="O223" s="178">
        <v>110</v>
      </c>
      <c r="P223" s="7"/>
      <c r="Q223" s="179" t="e">
        <f t="shared" si="42"/>
        <v>#REF!</v>
      </c>
      <c r="R223" s="180" t="e">
        <f t="shared" si="43"/>
        <v>#REF!</v>
      </c>
      <c r="X223" s="140"/>
    </row>
    <row r="224" spans="1:24">
      <c r="A224" s="140" t="e">
        <f t="shared" si="44"/>
        <v>#REF!</v>
      </c>
      <c r="B224" s="140" t="e">
        <f t="shared" si="45"/>
        <v>#REF!</v>
      </c>
      <c r="C224" s="140" t="e">
        <f t="shared" si="40"/>
        <v>#REF!</v>
      </c>
      <c r="D224" s="142">
        <f t="shared" si="46"/>
        <v>21</v>
      </c>
      <c r="E224" s="175" t="s">
        <v>146</v>
      </c>
      <c r="F224" s="175"/>
      <c r="G224" s="175" t="e">
        <f t="shared" si="41"/>
        <v>#REF!</v>
      </c>
      <c r="H224" s="9">
        <v>2.9</v>
      </c>
      <c r="I224" s="9">
        <v>4.8</v>
      </c>
      <c r="J224" s="176">
        <v>5.8</v>
      </c>
      <c r="K224" s="176">
        <v>9.6</v>
      </c>
      <c r="L224" s="9">
        <v>600</v>
      </c>
      <c r="M224" s="9">
        <v>700</v>
      </c>
      <c r="N224" s="177" t="s">
        <v>129</v>
      </c>
      <c r="O224" s="178">
        <v>110</v>
      </c>
      <c r="P224" s="7"/>
      <c r="Q224" s="179" t="e">
        <f t="shared" si="42"/>
        <v>#REF!</v>
      </c>
      <c r="R224" s="180" t="e">
        <f t="shared" si="43"/>
        <v>#REF!</v>
      </c>
      <c r="X224" s="140"/>
    </row>
    <row r="225" spans="1:24">
      <c r="A225" s="140" t="e">
        <f t="shared" si="44"/>
        <v>#REF!</v>
      </c>
      <c r="B225" s="140" t="e">
        <f t="shared" si="45"/>
        <v>#REF!</v>
      </c>
      <c r="C225" s="140" t="e">
        <f t="shared" si="40"/>
        <v>#REF!</v>
      </c>
      <c r="D225" s="142">
        <f t="shared" si="46"/>
        <v>22</v>
      </c>
      <c r="E225" s="175" t="s">
        <v>146</v>
      </c>
      <c r="F225" s="175"/>
      <c r="G225" s="175" t="e">
        <f t="shared" si="41"/>
        <v>#REF!</v>
      </c>
      <c r="H225" s="9">
        <v>2.6</v>
      </c>
      <c r="I225" s="9">
        <v>4.3</v>
      </c>
      <c r="J225" s="176">
        <v>5.2</v>
      </c>
      <c r="K225" s="176">
        <v>8.6</v>
      </c>
      <c r="L225" s="9">
        <v>700</v>
      </c>
      <c r="M225" s="9">
        <v>800</v>
      </c>
      <c r="N225" s="177" t="s">
        <v>129</v>
      </c>
      <c r="O225" s="178">
        <v>110</v>
      </c>
      <c r="P225" s="7"/>
      <c r="Q225" s="179" t="e">
        <f t="shared" si="42"/>
        <v>#REF!</v>
      </c>
      <c r="R225" s="180" t="e">
        <f t="shared" si="43"/>
        <v>#REF!</v>
      </c>
      <c r="X225" s="140"/>
    </row>
    <row r="226" spans="1:24">
      <c r="A226" s="140" t="e">
        <f t="shared" si="44"/>
        <v>#REF!</v>
      </c>
      <c r="B226" s="140" t="e">
        <f t="shared" si="45"/>
        <v>#REF!</v>
      </c>
      <c r="C226" s="140" t="e">
        <f t="shared" si="40"/>
        <v>#REF!</v>
      </c>
      <c r="D226" s="142">
        <f t="shared" si="46"/>
        <v>23</v>
      </c>
      <c r="E226" s="175" t="s">
        <v>146</v>
      </c>
      <c r="F226" s="175"/>
      <c r="G226" s="175" t="e">
        <f t="shared" si="41"/>
        <v>#REF!</v>
      </c>
      <c r="H226" s="9">
        <v>2.2999999999999998</v>
      </c>
      <c r="I226" s="9">
        <v>3.8</v>
      </c>
      <c r="J226" s="176">
        <v>4.5999999999999996</v>
      </c>
      <c r="K226" s="176">
        <v>7.6</v>
      </c>
      <c r="L226" s="9">
        <v>800</v>
      </c>
      <c r="M226" s="9">
        <v>900</v>
      </c>
      <c r="N226" s="177" t="s">
        <v>129</v>
      </c>
      <c r="O226" s="178">
        <v>110</v>
      </c>
      <c r="P226" s="7"/>
      <c r="Q226" s="179" t="e">
        <f t="shared" si="42"/>
        <v>#REF!</v>
      </c>
      <c r="R226" s="180" t="e">
        <f t="shared" si="43"/>
        <v>#REF!</v>
      </c>
      <c r="X226" s="140"/>
    </row>
    <row r="227" spans="1:24">
      <c r="A227" s="140" t="e">
        <f t="shared" si="44"/>
        <v>#REF!</v>
      </c>
      <c r="B227" s="140" t="e">
        <f t="shared" si="45"/>
        <v>#REF!</v>
      </c>
      <c r="C227" s="140" t="e">
        <f t="shared" si="40"/>
        <v>#REF!</v>
      </c>
      <c r="D227" s="142">
        <f t="shared" si="46"/>
        <v>24</v>
      </c>
      <c r="E227" s="175" t="s">
        <v>146</v>
      </c>
      <c r="F227" s="175"/>
      <c r="G227" s="175" t="e">
        <f t="shared" si="41"/>
        <v>#REF!</v>
      </c>
      <c r="H227" s="9">
        <v>2</v>
      </c>
      <c r="I227" s="9">
        <v>3.5</v>
      </c>
      <c r="J227" s="176">
        <v>4</v>
      </c>
      <c r="K227" s="176">
        <v>7</v>
      </c>
      <c r="L227" s="9">
        <v>900</v>
      </c>
      <c r="M227" s="9">
        <v>1000</v>
      </c>
      <c r="N227" s="177" t="s">
        <v>129</v>
      </c>
      <c r="O227" s="178">
        <v>110</v>
      </c>
      <c r="P227" s="7"/>
      <c r="Q227" s="179" t="e">
        <f t="shared" si="42"/>
        <v>#REF!</v>
      </c>
      <c r="R227" s="180" t="e">
        <f t="shared" si="43"/>
        <v>#REF!</v>
      </c>
      <c r="X227" s="140"/>
    </row>
    <row r="228" spans="1:24">
      <c r="A228" s="140" t="e">
        <f t="shared" si="44"/>
        <v>#REF!</v>
      </c>
      <c r="B228" s="140" t="e">
        <f t="shared" si="45"/>
        <v>#REF!</v>
      </c>
      <c r="C228" s="140" t="e">
        <f t="shared" si="40"/>
        <v>#REF!</v>
      </c>
      <c r="D228" s="142">
        <f t="shared" si="46"/>
        <v>25</v>
      </c>
      <c r="E228" s="175" t="s">
        <v>147</v>
      </c>
      <c r="F228" s="175"/>
      <c r="G228" s="175" t="e">
        <f t="shared" si="41"/>
        <v>#REF!</v>
      </c>
      <c r="H228" s="9">
        <v>9.1999999999999993</v>
      </c>
      <c r="I228" s="9">
        <v>15</v>
      </c>
      <c r="J228" s="176">
        <v>18.399999999999999</v>
      </c>
      <c r="K228" s="176">
        <v>30</v>
      </c>
      <c r="L228" s="9">
        <v>300</v>
      </c>
      <c r="M228" s="9">
        <v>300</v>
      </c>
      <c r="N228" s="177" t="s">
        <v>131</v>
      </c>
      <c r="O228" s="178">
        <v>110</v>
      </c>
      <c r="P228" s="7"/>
      <c r="Q228" s="179" t="e">
        <f t="shared" si="42"/>
        <v>#REF!</v>
      </c>
      <c r="R228" s="180" t="e">
        <f t="shared" si="43"/>
        <v>#REF!</v>
      </c>
      <c r="X228" s="140"/>
    </row>
    <row r="229" spans="1:24">
      <c r="A229" s="140" t="e">
        <f t="shared" si="44"/>
        <v>#REF!</v>
      </c>
      <c r="B229" s="140" t="e">
        <f t="shared" si="45"/>
        <v>#REF!</v>
      </c>
      <c r="C229" s="140" t="e">
        <f t="shared" si="40"/>
        <v>#REF!</v>
      </c>
      <c r="D229" s="142">
        <f t="shared" si="46"/>
        <v>26</v>
      </c>
      <c r="E229" s="175" t="s">
        <v>147</v>
      </c>
      <c r="F229" s="175"/>
      <c r="G229" s="175" t="e">
        <f t="shared" si="41"/>
        <v>#REF!</v>
      </c>
      <c r="H229" s="9">
        <v>6.9</v>
      </c>
      <c r="I229" s="9">
        <v>11.2</v>
      </c>
      <c r="J229" s="176">
        <v>13.8</v>
      </c>
      <c r="K229" s="176">
        <v>22.4</v>
      </c>
      <c r="L229" s="9">
        <v>300</v>
      </c>
      <c r="M229" s="9">
        <v>400</v>
      </c>
      <c r="N229" s="177" t="s">
        <v>131</v>
      </c>
      <c r="O229" s="178">
        <v>110</v>
      </c>
      <c r="P229" s="7"/>
      <c r="Q229" s="179" t="e">
        <f t="shared" si="42"/>
        <v>#REF!</v>
      </c>
      <c r="R229" s="180" t="e">
        <f t="shared" si="43"/>
        <v>#REF!</v>
      </c>
      <c r="X229" s="140"/>
    </row>
    <row r="230" spans="1:24">
      <c r="A230" s="140" t="e">
        <f t="shared" si="44"/>
        <v>#REF!</v>
      </c>
      <c r="B230" s="140" t="e">
        <f t="shared" si="45"/>
        <v>#REF!</v>
      </c>
      <c r="C230" s="140" t="e">
        <f t="shared" si="40"/>
        <v>#REF!</v>
      </c>
      <c r="D230" s="142">
        <f t="shared" si="46"/>
        <v>27</v>
      </c>
      <c r="E230" s="175" t="s">
        <v>147</v>
      </c>
      <c r="F230" s="175"/>
      <c r="G230" s="175" t="e">
        <f t="shared" si="41"/>
        <v>#REF!</v>
      </c>
      <c r="H230" s="9">
        <v>5.7</v>
      </c>
      <c r="I230" s="9">
        <v>9</v>
      </c>
      <c r="J230" s="176">
        <v>11.4</v>
      </c>
      <c r="K230" s="176">
        <v>18</v>
      </c>
      <c r="L230" s="9">
        <v>400</v>
      </c>
      <c r="M230" s="9">
        <v>500</v>
      </c>
      <c r="N230" s="177" t="s">
        <v>131</v>
      </c>
      <c r="O230" s="178">
        <v>110</v>
      </c>
      <c r="P230" s="7"/>
      <c r="Q230" s="179" t="e">
        <f t="shared" si="42"/>
        <v>#REF!</v>
      </c>
      <c r="R230" s="180" t="e">
        <f t="shared" si="43"/>
        <v>#REF!</v>
      </c>
      <c r="X230" s="140"/>
    </row>
    <row r="231" spans="1:24">
      <c r="A231" s="140" t="e">
        <f t="shared" si="44"/>
        <v>#REF!</v>
      </c>
      <c r="B231" s="140" t="e">
        <f t="shared" si="45"/>
        <v>#REF!</v>
      </c>
      <c r="C231" s="140" t="e">
        <f t="shared" si="40"/>
        <v>#REF!</v>
      </c>
      <c r="D231" s="142">
        <f t="shared" si="46"/>
        <v>28</v>
      </c>
      <c r="E231" s="175" t="s">
        <v>147</v>
      </c>
      <c r="F231" s="175"/>
      <c r="G231" s="175" t="e">
        <f t="shared" si="41"/>
        <v>#REF!</v>
      </c>
      <c r="H231" s="9">
        <v>4.5</v>
      </c>
      <c r="I231" s="9">
        <v>7.6</v>
      </c>
      <c r="J231" s="176">
        <v>9</v>
      </c>
      <c r="K231" s="176">
        <v>15.2</v>
      </c>
      <c r="L231" s="9">
        <v>500</v>
      </c>
      <c r="M231" s="9">
        <v>600</v>
      </c>
      <c r="N231" s="177" t="s">
        <v>131</v>
      </c>
      <c r="O231" s="178">
        <v>110</v>
      </c>
      <c r="P231" s="7"/>
      <c r="Q231" s="179" t="e">
        <f t="shared" si="42"/>
        <v>#REF!</v>
      </c>
      <c r="R231" s="180" t="e">
        <f t="shared" si="43"/>
        <v>#REF!</v>
      </c>
      <c r="X231" s="140"/>
    </row>
    <row r="232" spans="1:24">
      <c r="A232" s="140" t="e">
        <f t="shared" si="44"/>
        <v>#REF!</v>
      </c>
      <c r="B232" s="140" t="e">
        <f t="shared" si="45"/>
        <v>#REF!</v>
      </c>
      <c r="C232" s="140" t="e">
        <f t="shared" si="40"/>
        <v>#REF!</v>
      </c>
      <c r="D232" s="142">
        <f t="shared" si="46"/>
        <v>29</v>
      </c>
      <c r="E232" s="175" t="s">
        <v>147</v>
      </c>
      <c r="F232" s="175"/>
      <c r="G232" s="175" t="e">
        <f t="shared" si="41"/>
        <v>#REF!</v>
      </c>
      <c r="H232" s="9">
        <v>3.8</v>
      </c>
      <c r="I232" s="9">
        <v>6.2</v>
      </c>
      <c r="J232" s="176">
        <v>7.6</v>
      </c>
      <c r="K232" s="176">
        <v>12.4</v>
      </c>
      <c r="L232" s="9">
        <v>600</v>
      </c>
      <c r="M232" s="9">
        <v>700</v>
      </c>
      <c r="N232" s="177" t="s">
        <v>131</v>
      </c>
      <c r="O232" s="178">
        <v>110</v>
      </c>
      <c r="P232" s="7"/>
      <c r="Q232" s="179" t="e">
        <f t="shared" si="42"/>
        <v>#REF!</v>
      </c>
      <c r="R232" s="180" t="e">
        <f t="shared" si="43"/>
        <v>#REF!</v>
      </c>
      <c r="X232" s="140"/>
    </row>
    <row r="233" spans="1:24">
      <c r="A233" s="140" t="e">
        <f t="shared" si="44"/>
        <v>#REF!</v>
      </c>
      <c r="B233" s="140" t="e">
        <f t="shared" si="45"/>
        <v>#REF!</v>
      </c>
      <c r="C233" s="140" t="e">
        <f t="shared" si="40"/>
        <v>#REF!</v>
      </c>
      <c r="D233" s="142">
        <f t="shared" si="46"/>
        <v>30</v>
      </c>
      <c r="E233" s="175" t="s">
        <v>147</v>
      </c>
      <c r="F233" s="175"/>
      <c r="G233" s="175" t="e">
        <f t="shared" si="41"/>
        <v>#REF!</v>
      </c>
      <c r="H233" s="9">
        <v>3.4</v>
      </c>
      <c r="I233" s="9">
        <v>5.6</v>
      </c>
      <c r="J233" s="176">
        <v>6.8</v>
      </c>
      <c r="K233" s="176">
        <v>11.2</v>
      </c>
      <c r="L233" s="9">
        <v>700</v>
      </c>
      <c r="M233" s="9">
        <v>800</v>
      </c>
      <c r="N233" s="177" t="s">
        <v>131</v>
      </c>
      <c r="O233" s="178">
        <v>110</v>
      </c>
      <c r="P233" s="7"/>
      <c r="Q233" s="179" t="e">
        <f t="shared" si="42"/>
        <v>#REF!</v>
      </c>
      <c r="R233" s="180" t="e">
        <f t="shared" si="43"/>
        <v>#REF!</v>
      </c>
      <c r="X233" s="140"/>
    </row>
    <row r="234" spans="1:24">
      <c r="A234" s="140" t="e">
        <f t="shared" si="44"/>
        <v>#REF!</v>
      </c>
      <c r="B234" s="140" t="e">
        <f t="shared" si="45"/>
        <v>#REF!</v>
      </c>
      <c r="C234" s="140" t="e">
        <f t="shared" si="40"/>
        <v>#REF!</v>
      </c>
      <c r="D234" s="142">
        <f t="shared" si="46"/>
        <v>31</v>
      </c>
      <c r="E234" s="175" t="s">
        <v>147</v>
      </c>
      <c r="F234" s="175"/>
      <c r="G234" s="175" t="e">
        <f t="shared" si="41"/>
        <v>#REF!</v>
      </c>
      <c r="H234" s="9">
        <v>3</v>
      </c>
      <c r="I234" s="9">
        <v>5</v>
      </c>
      <c r="J234" s="176">
        <v>6</v>
      </c>
      <c r="K234" s="176">
        <v>10</v>
      </c>
      <c r="L234" s="9">
        <v>800</v>
      </c>
      <c r="M234" s="9">
        <v>900</v>
      </c>
      <c r="N234" s="177" t="s">
        <v>131</v>
      </c>
      <c r="O234" s="178">
        <v>110</v>
      </c>
      <c r="P234" s="7"/>
      <c r="Q234" s="179" t="e">
        <f t="shared" si="42"/>
        <v>#REF!</v>
      </c>
      <c r="R234" s="180" t="e">
        <f t="shared" si="43"/>
        <v>#REF!</v>
      </c>
      <c r="X234" s="140"/>
    </row>
    <row r="235" spans="1:24">
      <c r="A235" s="140" t="e">
        <f t="shared" si="44"/>
        <v>#REF!</v>
      </c>
      <c r="B235" s="140" t="e">
        <f t="shared" si="45"/>
        <v>#REF!</v>
      </c>
      <c r="C235" s="140" t="e">
        <f t="shared" si="40"/>
        <v>#REF!</v>
      </c>
      <c r="D235" s="142">
        <f t="shared" si="46"/>
        <v>32</v>
      </c>
      <c r="E235" s="175" t="s">
        <v>147</v>
      </c>
      <c r="F235" s="175"/>
      <c r="G235" s="175" t="e">
        <f t="shared" si="41"/>
        <v>#REF!</v>
      </c>
      <c r="H235" s="9">
        <v>2.7</v>
      </c>
      <c r="I235" s="9">
        <v>4.5</v>
      </c>
      <c r="J235" s="176">
        <v>5.4</v>
      </c>
      <c r="K235" s="176">
        <v>9</v>
      </c>
      <c r="L235" s="9">
        <v>900</v>
      </c>
      <c r="M235" s="9">
        <v>1000</v>
      </c>
      <c r="N235" s="177" t="s">
        <v>131</v>
      </c>
      <c r="O235" s="178">
        <v>110</v>
      </c>
      <c r="P235" s="7"/>
      <c r="Q235" s="179" t="e">
        <f t="shared" si="42"/>
        <v>#REF!</v>
      </c>
      <c r="R235" s="180" t="e">
        <f t="shared" si="43"/>
        <v>#REF!</v>
      </c>
      <c r="X235" s="140"/>
    </row>
    <row r="236" spans="1:24">
      <c r="A236" s="140" t="e">
        <f t="shared" si="44"/>
        <v>#REF!</v>
      </c>
      <c r="B236" s="140" t="e">
        <f t="shared" si="45"/>
        <v>#REF!</v>
      </c>
      <c r="C236" s="140" t="e">
        <f t="shared" si="40"/>
        <v>#REF!</v>
      </c>
      <c r="D236" s="142">
        <f t="shared" si="46"/>
        <v>33</v>
      </c>
      <c r="E236" s="175" t="s">
        <v>342</v>
      </c>
      <c r="F236" s="175"/>
      <c r="G236" s="175" t="e">
        <f t="shared" si="41"/>
        <v>#REF!</v>
      </c>
      <c r="H236" s="9">
        <v>0</v>
      </c>
      <c r="I236" s="9">
        <v>1000</v>
      </c>
      <c r="J236" s="176">
        <v>0</v>
      </c>
      <c r="K236" s="176">
        <v>2000</v>
      </c>
      <c r="L236" s="9">
        <v>0</v>
      </c>
      <c r="M236" s="9">
        <v>2000</v>
      </c>
      <c r="N236" s="177" t="s">
        <v>131</v>
      </c>
      <c r="O236" s="178">
        <v>110</v>
      </c>
      <c r="P236" s="7"/>
      <c r="Q236" s="179" t="e">
        <f t="shared" ref="Q236:Q267" si="47">MXВес</f>
        <v>#REF!</v>
      </c>
      <c r="R236" s="180" t="e">
        <f t="shared" ref="R236:R267" si="48">MXВысота</f>
        <v>#REF!</v>
      </c>
      <c r="X236" s="140"/>
    </row>
    <row r="237" spans="1:24">
      <c r="A237" s="140" t="e">
        <f t="shared" si="44"/>
        <v>#REF!</v>
      </c>
      <c r="B237" s="140" t="e">
        <f t="shared" si="45"/>
        <v>#REF!</v>
      </c>
      <c r="C237" s="140" t="e">
        <f t="shared" si="40"/>
        <v>#REF!</v>
      </c>
      <c r="D237" s="142">
        <f>D236+1</f>
        <v>34</v>
      </c>
      <c r="E237" s="181" t="s">
        <v>41</v>
      </c>
      <c r="F237" s="181"/>
      <c r="G237" s="175" t="e">
        <f t="shared" ref="G237:G269" si="49">IF($O$201&lt;=600,IF(SMALL($A$237:$A$269,1)&lt;2000,1,2),IF(AND($M$201&lt;=$M$200,$O$201&lt;=$O$200),1,2))</f>
        <v>#REF!</v>
      </c>
      <c r="H237" s="9">
        <v>3</v>
      </c>
      <c r="I237" s="9">
        <v>5.3</v>
      </c>
      <c r="J237" s="176">
        <v>6</v>
      </c>
      <c r="K237" s="176">
        <v>10.6</v>
      </c>
      <c r="L237" s="9">
        <v>300</v>
      </c>
      <c r="M237" s="9">
        <v>300</v>
      </c>
      <c r="N237" s="182" t="s">
        <v>127</v>
      </c>
      <c r="O237" s="183">
        <v>90</v>
      </c>
      <c r="P237" s="184"/>
      <c r="Q237" s="179" t="e">
        <f t="shared" si="47"/>
        <v>#REF!</v>
      </c>
      <c r="R237" s="180" t="e">
        <f t="shared" si="48"/>
        <v>#REF!</v>
      </c>
    </row>
    <row r="238" spans="1:24">
      <c r="A238" s="140" t="e">
        <f t="shared" si="44"/>
        <v>#REF!</v>
      </c>
      <c r="B238" s="140" t="e">
        <f t="shared" si="45"/>
        <v>#REF!</v>
      </c>
      <c r="C238" s="140" t="e">
        <f t="shared" si="40"/>
        <v>#REF!</v>
      </c>
      <c r="D238" s="142">
        <f t="shared" si="46"/>
        <v>35</v>
      </c>
      <c r="E238" s="181" t="s">
        <v>41</v>
      </c>
      <c r="F238" s="181"/>
      <c r="G238" s="175" t="e">
        <f t="shared" si="49"/>
        <v>#REF!</v>
      </c>
      <c r="H238" s="9">
        <v>2.2999999999999998</v>
      </c>
      <c r="I238" s="9">
        <v>4</v>
      </c>
      <c r="J238" s="176">
        <v>4.5999999999999996</v>
      </c>
      <c r="K238" s="176">
        <v>8</v>
      </c>
      <c r="L238" s="9">
        <v>300</v>
      </c>
      <c r="M238" s="9">
        <v>400</v>
      </c>
      <c r="N238" s="182" t="s">
        <v>127</v>
      </c>
      <c r="O238" s="183">
        <v>90</v>
      </c>
      <c r="P238" s="184"/>
      <c r="Q238" s="179" t="e">
        <f t="shared" si="47"/>
        <v>#REF!</v>
      </c>
      <c r="R238" s="180" t="e">
        <f t="shared" si="48"/>
        <v>#REF!</v>
      </c>
    </row>
    <row r="239" spans="1:24">
      <c r="A239" s="140" t="e">
        <f t="shared" si="44"/>
        <v>#REF!</v>
      </c>
      <c r="B239" s="140" t="e">
        <f t="shared" si="45"/>
        <v>#REF!</v>
      </c>
      <c r="C239" s="140" t="e">
        <f t="shared" si="40"/>
        <v>#REF!</v>
      </c>
      <c r="D239" s="142">
        <f t="shared" si="46"/>
        <v>36</v>
      </c>
      <c r="E239" s="181" t="s">
        <v>41</v>
      </c>
      <c r="F239" s="181"/>
      <c r="G239" s="175" t="e">
        <f t="shared" si="49"/>
        <v>#REF!</v>
      </c>
      <c r="H239" s="9">
        <v>1.8</v>
      </c>
      <c r="I239" s="9">
        <v>3.2</v>
      </c>
      <c r="J239" s="176">
        <v>3.6</v>
      </c>
      <c r="K239" s="176">
        <v>6.4</v>
      </c>
      <c r="L239" s="9">
        <v>400</v>
      </c>
      <c r="M239" s="9">
        <v>500</v>
      </c>
      <c r="N239" s="182" t="s">
        <v>127</v>
      </c>
      <c r="O239" s="183">
        <v>90</v>
      </c>
      <c r="P239" s="184"/>
      <c r="Q239" s="179" t="e">
        <f t="shared" si="47"/>
        <v>#REF!</v>
      </c>
      <c r="R239" s="180" t="e">
        <f t="shared" si="48"/>
        <v>#REF!</v>
      </c>
      <c r="X239" s="140"/>
    </row>
    <row r="240" spans="1:24">
      <c r="A240" s="140" t="e">
        <f t="shared" si="44"/>
        <v>#REF!</v>
      </c>
      <c r="B240" s="140" t="e">
        <f t="shared" si="45"/>
        <v>#REF!</v>
      </c>
      <c r="C240" s="140" t="e">
        <f t="shared" si="40"/>
        <v>#REF!</v>
      </c>
      <c r="D240" s="142">
        <f t="shared" si="46"/>
        <v>37</v>
      </c>
      <c r="E240" s="181" t="s">
        <v>41</v>
      </c>
      <c r="F240" s="181"/>
      <c r="G240" s="175" t="e">
        <f t="shared" si="49"/>
        <v>#REF!</v>
      </c>
      <c r="H240" s="9">
        <v>1.5</v>
      </c>
      <c r="I240" s="9">
        <v>2.7</v>
      </c>
      <c r="J240" s="176">
        <v>3</v>
      </c>
      <c r="K240" s="176">
        <v>5.4</v>
      </c>
      <c r="L240" s="9">
        <v>500</v>
      </c>
      <c r="M240" s="9">
        <v>600</v>
      </c>
      <c r="N240" s="182" t="s">
        <v>127</v>
      </c>
      <c r="O240" s="183">
        <v>90</v>
      </c>
      <c r="P240" s="184"/>
      <c r="Q240" s="179" t="e">
        <f t="shared" si="47"/>
        <v>#REF!</v>
      </c>
      <c r="R240" s="180" t="e">
        <f t="shared" si="48"/>
        <v>#REF!</v>
      </c>
      <c r="X240" s="140"/>
    </row>
    <row r="241" spans="1:24">
      <c r="A241" s="140" t="e">
        <f t="shared" si="44"/>
        <v>#REF!</v>
      </c>
      <c r="B241" s="140" t="e">
        <f t="shared" si="45"/>
        <v>#REF!</v>
      </c>
      <c r="C241" s="140" t="e">
        <f t="shared" si="40"/>
        <v>#REF!</v>
      </c>
      <c r="D241" s="142">
        <f t="shared" si="46"/>
        <v>38</v>
      </c>
      <c r="E241" s="181" t="s">
        <v>41</v>
      </c>
      <c r="F241" s="181"/>
      <c r="G241" s="175" t="e">
        <f t="shared" si="49"/>
        <v>#REF!</v>
      </c>
      <c r="H241" s="9">
        <v>1.3</v>
      </c>
      <c r="I241" s="9">
        <v>2.2000000000000002</v>
      </c>
      <c r="J241" s="176">
        <v>2.6</v>
      </c>
      <c r="K241" s="176">
        <v>4.4000000000000004</v>
      </c>
      <c r="L241" s="9">
        <v>600</v>
      </c>
      <c r="M241" s="9">
        <v>700</v>
      </c>
      <c r="N241" s="182" t="s">
        <v>127</v>
      </c>
      <c r="O241" s="183">
        <v>90</v>
      </c>
      <c r="P241" s="184"/>
      <c r="Q241" s="179" t="e">
        <f t="shared" si="47"/>
        <v>#REF!</v>
      </c>
      <c r="R241" s="180" t="e">
        <f t="shared" si="48"/>
        <v>#REF!</v>
      </c>
      <c r="X241" s="140"/>
    </row>
    <row r="242" spans="1:24">
      <c r="A242" s="140" t="e">
        <f t="shared" si="44"/>
        <v>#REF!</v>
      </c>
      <c r="B242" s="140" t="e">
        <f t="shared" si="45"/>
        <v>#REF!</v>
      </c>
      <c r="C242" s="140" t="e">
        <f t="shared" si="40"/>
        <v>#REF!</v>
      </c>
      <c r="D242" s="142">
        <f t="shared" si="46"/>
        <v>39</v>
      </c>
      <c r="E242" s="181" t="s">
        <v>41</v>
      </c>
      <c r="F242" s="181"/>
      <c r="G242" s="175" t="e">
        <f t="shared" si="49"/>
        <v>#REF!</v>
      </c>
      <c r="H242" s="9">
        <v>1.1000000000000001</v>
      </c>
      <c r="I242" s="9">
        <v>2</v>
      </c>
      <c r="J242" s="176">
        <v>2.2000000000000002</v>
      </c>
      <c r="K242" s="176">
        <v>4</v>
      </c>
      <c r="L242" s="9">
        <v>700</v>
      </c>
      <c r="M242" s="9">
        <v>800</v>
      </c>
      <c r="N242" s="182" t="s">
        <v>127</v>
      </c>
      <c r="O242" s="183">
        <v>90</v>
      </c>
      <c r="P242" s="184"/>
      <c r="Q242" s="179" t="e">
        <f t="shared" si="47"/>
        <v>#REF!</v>
      </c>
      <c r="R242" s="180" t="e">
        <f t="shared" si="48"/>
        <v>#REF!</v>
      </c>
      <c r="X242" s="140"/>
    </row>
    <row r="243" spans="1:24">
      <c r="A243" s="140" t="e">
        <f t="shared" si="44"/>
        <v>#REF!</v>
      </c>
      <c r="B243" s="140" t="e">
        <f t="shared" si="45"/>
        <v>#REF!</v>
      </c>
      <c r="C243" s="140" t="e">
        <f t="shared" si="40"/>
        <v>#REF!</v>
      </c>
      <c r="D243" s="142">
        <f t="shared" si="46"/>
        <v>40</v>
      </c>
      <c r="E243" s="181" t="s">
        <v>41</v>
      </c>
      <c r="F243" s="181"/>
      <c r="G243" s="175" t="e">
        <f t="shared" si="49"/>
        <v>#REF!</v>
      </c>
      <c r="H243" s="9">
        <v>1</v>
      </c>
      <c r="I243" s="9">
        <v>1.8</v>
      </c>
      <c r="J243" s="176">
        <v>2</v>
      </c>
      <c r="K243" s="176">
        <v>3.6</v>
      </c>
      <c r="L243" s="9">
        <v>800</v>
      </c>
      <c r="M243" s="9">
        <v>900</v>
      </c>
      <c r="N243" s="182" t="s">
        <v>127</v>
      </c>
      <c r="O243" s="183">
        <v>90</v>
      </c>
      <c r="P243" s="184"/>
      <c r="Q243" s="179" t="e">
        <f t="shared" si="47"/>
        <v>#REF!</v>
      </c>
      <c r="R243" s="180" t="e">
        <f t="shared" si="48"/>
        <v>#REF!</v>
      </c>
      <c r="X243" s="140"/>
    </row>
    <row r="244" spans="1:24">
      <c r="A244" s="140" t="e">
        <f t="shared" si="44"/>
        <v>#REF!</v>
      </c>
      <c r="B244" s="140" t="e">
        <f t="shared" si="45"/>
        <v>#REF!</v>
      </c>
      <c r="C244" s="140" t="e">
        <f t="shared" si="40"/>
        <v>#REF!</v>
      </c>
      <c r="D244" s="142">
        <f t="shared" si="46"/>
        <v>41</v>
      </c>
      <c r="E244" s="181" t="s">
        <v>41</v>
      </c>
      <c r="F244" s="181"/>
      <c r="G244" s="175" t="e">
        <f t="shared" si="49"/>
        <v>#REF!</v>
      </c>
      <c r="H244" s="9">
        <v>0.9</v>
      </c>
      <c r="I244" s="9">
        <v>1.6</v>
      </c>
      <c r="J244" s="176">
        <v>1.8</v>
      </c>
      <c r="K244" s="176">
        <v>3.2</v>
      </c>
      <c r="L244" s="9">
        <v>900</v>
      </c>
      <c r="M244" s="9">
        <v>1000</v>
      </c>
      <c r="N244" s="182" t="s">
        <v>127</v>
      </c>
      <c r="O244" s="183">
        <v>90</v>
      </c>
      <c r="P244" s="184"/>
      <c r="Q244" s="179" t="e">
        <f t="shared" si="47"/>
        <v>#REF!</v>
      </c>
      <c r="R244" s="180" t="e">
        <f t="shared" si="48"/>
        <v>#REF!</v>
      </c>
      <c r="X244" s="140"/>
    </row>
    <row r="245" spans="1:24">
      <c r="A245" s="140" t="e">
        <f t="shared" si="44"/>
        <v>#REF!</v>
      </c>
      <c r="B245" s="140" t="e">
        <f t="shared" si="45"/>
        <v>#REF!</v>
      </c>
      <c r="C245" s="140" t="e">
        <f t="shared" si="40"/>
        <v>#REF!</v>
      </c>
      <c r="D245" s="142">
        <f t="shared" si="46"/>
        <v>42</v>
      </c>
      <c r="E245" s="181" t="s">
        <v>145</v>
      </c>
      <c r="F245" s="181"/>
      <c r="G245" s="175" t="e">
        <f t="shared" si="49"/>
        <v>#REF!</v>
      </c>
      <c r="H245" s="9">
        <v>5.0999999999999996</v>
      </c>
      <c r="I245" s="9">
        <v>10.199999999999999</v>
      </c>
      <c r="J245" s="176">
        <v>10.199999999999999</v>
      </c>
      <c r="K245" s="176">
        <v>20.399999999999999</v>
      </c>
      <c r="L245" s="9">
        <v>300</v>
      </c>
      <c r="M245" s="9">
        <v>300</v>
      </c>
      <c r="N245" s="182" t="s">
        <v>128</v>
      </c>
      <c r="O245" s="183">
        <v>90</v>
      </c>
      <c r="P245" s="184"/>
      <c r="Q245" s="179" t="e">
        <f t="shared" si="47"/>
        <v>#REF!</v>
      </c>
      <c r="R245" s="180" t="e">
        <f t="shared" si="48"/>
        <v>#REF!</v>
      </c>
      <c r="X245" s="140"/>
    </row>
    <row r="246" spans="1:24">
      <c r="A246" s="140" t="e">
        <f t="shared" si="44"/>
        <v>#REF!</v>
      </c>
      <c r="B246" s="140" t="e">
        <f t="shared" si="45"/>
        <v>#REF!</v>
      </c>
      <c r="C246" s="140" t="e">
        <f t="shared" si="40"/>
        <v>#REF!</v>
      </c>
      <c r="D246" s="142">
        <f t="shared" si="46"/>
        <v>43</v>
      </c>
      <c r="E246" s="181" t="s">
        <v>145</v>
      </c>
      <c r="F246" s="181"/>
      <c r="G246" s="175" t="e">
        <f t="shared" si="49"/>
        <v>#REF!</v>
      </c>
      <c r="H246" s="9">
        <v>3.8</v>
      </c>
      <c r="I246" s="9">
        <v>7.6</v>
      </c>
      <c r="J246" s="176">
        <v>7.6</v>
      </c>
      <c r="K246" s="176">
        <v>15.2</v>
      </c>
      <c r="L246" s="9">
        <v>300</v>
      </c>
      <c r="M246" s="9">
        <v>400</v>
      </c>
      <c r="N246" s="182" t="s">
        <v>128</v>
      </c>
      <c r="O246" s="183">
        <v>90</v>
      </c>
      <c r="P246" s="184"/>
      <c r="Q246" s="179" t="e">
        <f t="shared" si="47"/>
        <v>#REF!</v>
      </c>
      <c r="R246" s="180" t="e">
        <f t="shared" si="48"/>
        <v>#REF!</v>
      </c>
      <c r="X246" s="140"/>
    </row>
    <row r="247" spans="1:24">
      <c r="A247" s="140" t="e">
        <f t="shared" si="44"/>
        <v>#REF!</v>
      </c>
      <c r="B247" s="140" t="e">
        <f t="shared" si="45"/>
        <v>#REF!</v>
      </c>
      <c r="C247" s="140" t="e">
        <f t="shared" si="40"/>
        <v>#REF!</v>
      </c>
      <c r="D247" s="142">
        <f t="shared" si="46"/>
        <v>44</v>
      </c>
      <c r="E247" s="181" t="s">
        <v>145</v>
      </c>
      <c r="F247" s="181"/>
      <c r="G247" s="175" t="e">
        <f t="shared" si="49"/>
        <v>#REF!</v>
      </c>
      <c r="H247" s="9">
        <v>3.1</v>
      </c>
      <c r="I247" s="9">
        <v>6.1</v>
      </c>
      <c r="J247" s="176">
        <v>6.2</v>
      </c>
      <c r="K247" s="176">
        <v>12.2</v>
      </c>
      <c r="L247" s="9">
        <v>400</v>
      </c>
      <c r="M247" s="9">
        <v>500</v>
      </c>
      <c r="N247" s="182" t="s">
        <v>128</v>
      </c>
      <c r="O247" s="183">
        <v>90</v>
      </c>
      <c r="P247" s="184"/>
      <c r="Q247" s="179" t="e">
        <f t="shared" si="47"/>
        <v>#REF!</v>
      </c>
      <c r="R247" s="180" t="e">
        <f t="shared" si="48"/>
        <v>#REF!</v>
      </c>
      <c r="X247" s="140"/>
    </row>
    <row r="248" spans="1:24">
      <c r="A248" s="140" t="e">
        <f t="shared" si="44"/>
        <v>#REF!</v>
      </c>
      <c r="B248" s="140" t="e">
        <f t="shared" si="45"/>
        <v>#REF!</v>
      </c>
      <c r="C248" s="140" t="e">
        <f t="shared" si="40"/>
        <v>#REF!</v>
      </c>
      <c r="D248" s="142">
        <f t="shared" si="46"/>
        <v>45</v>
      </c>
      <c r="E248" s="181" t="s">
        <v>145</v>
      </c>
      <c r="F248" s="181"/>
      <c r="G248" s="175" t="e">
        <f t="shared" si="49"/>
        <v>#REF!</v>
      </c>
      <c r="H248" s="9">
        <v>2.6</v>
      </c>
      <c r="I248" s="9">
        <v>5.0999999999999996</v>
      </c>
      <c r="J248" s="176">
        <v>5.2</v>
      </c>
      <c r="K248" s="176">
        <v>10.199999999999999</v>
      </c>
      <c r="L248" s="9">
        <v>500</v>
      </c>
      <c r="M248" s="9">
        <v>600</v>
      </c>
      <c r="N248" s="182" t="s">
        <v>128</v>
      </c>
      <c r="O248" s="183">
        <v>90</v>
      </c>
      <c r="P248" s="184"/>
      <c r="Q248" s="179" t="e">
        <f t="shared" si="47"/>
        <v>#REF!</v>
      </c>
      <c r="R248" s="180" t="e">
        <f t="shared" si="48"/>
        <v>#REF!</v>
      </c>
      <c r="X248" s="140"/>
    </row>
    <row r="249" spans="1:24">
      <c r="A249" s="140" t="e">
        <f t="shared" si="44"/>
        <v>#REF!</v>
      </c>
      <c r="B249" s="140" t="e">
        <f t="shared" si="45"/>
        <v>#REF!</v>
      </c>
      <c r="C249" s="140" t="e">
        <f t="shared" si="40"/>
        <v>#REF!</v>
      </c>
      <c r="D249" s="142">
        <f t="shared" si="46"/>
        <v>46</v>
      </c>
      <c r="E249" s="181" t="s">
        <v>145</v>
      </c>
      <c r="F249" s="181"/>
      <c r="G249" s="175" t="e">
        <f t="shared" si="49"/>
        <v>#REF!</v>
      </c>
      <c r="H249" s="9">
        <v>2.1</v>
      </c>
      <c r="I249" s="9">
        <v>4.2</v>
      </c>
      <c r="J249" s="176">
        <v>4.2</v>
      </c>
      <c r="K249" s="176">
        <v>8.4</v>
      </c>
      <c r="L249" s="9">
        <v>600</v>
      </c>
      <c r="M249" s="9">
        <v>700</v>
      </c>
      <c r="N249" s="182" t="s">
        <v>128</v>
      </c>
      <c r="O249" s="183">
        <v>90</v>
      </c>
      <c r="P249" s="184"/>
      <c r="Q249" s="179" t="e">
        <f t="shared" si="47"/>
        <v>#REF!</v>
      </c>
      <c r="R249" s="180" t="e">
        <f t="shared" si="48"/>
        <v>#REF!</v>
      </c>
      <c r="X249" s="140"/>
    </row>
    <row r="250" spans="1:24">
      <c r="A250" s="140" t="e">
        <f t="shared" si="44"/>
        <v>#REF!</v>
      </c>
      <c r="B250" s="140" t="e">
        <f t="shared" si="45"/>
        <v>#REF!</v>
      </c>
      <c r="C250" s="140" t="e">
        <f t="shared" si="40"/>
        <v>#REF!</v>
      </c>
      <c r="D250" s="142">
        <f t="shared" si="46"/>
        <v>47</v>
      </c>
      <c r="E250" s="181" t="s">
        <v>145</v>
      </c>
      <c r="F250" s="181"/>
      <c r="G250" s="175" t="e">
        <f t="shared" si="49"/>
        <v>#REF!</v>
      </c>
      <c r="H250" s="9">
        <v>1.9</v>
      </c>
      <c r="I250" s="9">
        <v>3.9</v>
      </c>
      <c r="J250" s="176">
        <v>3.8</v>
      </c>
      <c r="K250" s="176">
        <v>7.8</v>
      </c>
      <c r="L250" s="9">
        <v>700</v>
      </c>
      <c r="M250" s="9">
        <v>800</v>
      </c>
      <c r="N250" s="182" t="s">
        <v>128</v>
      </c>
      <c r="O250" s="183">
        <v>90</v>
      </c>
      <c r="P250" s="184"/>
      <c r="Q250" s="179" t="e">
        <f t="shared" si="47"/>
        <v>#REF!</v>
      </c>
      <c r="R250" s="180" t="e">
        <f t="shared" si="48"/>
        <v>#REF!</v>
      </c>
      <c r="X250" s="140"/>
    </row>
    <row r="251" spans="1:24">
      <c r="A251" s="140" t="e">
        <f t="shared" si="44"/>
        <v>#REF!</v>
      </c>
      <c r="B251" s="140" t="e">
        <f t="shared" si="45"/>
        <v>#REF!</v>
      </c>
      <c r="C251" s="140" t="e">
        <f t="shared" si="40"/>
        <v>#REF!</v>
      </c>
      <c r="D251" s="142">
        <f t="shared" si="46"/>
        <v>48</v>
      </c>
      <c r="E251" s="181" t="s">
        <v>145</v>
      </c>
      <c r="F251" s="181"/>
      <c r="G251" s="175" t="e">
        <f t="shared" si="49"/>
        <v>#REF!</v>
      </c>
      <c r="H251" s="9">
        <v>1.7</v>
      </c>
      <c r="I251" s="9">
        <v>3.4</v>
      </c>
      <c r="J251" s="176">
        <v>3.4</v>
      </c>
      <c r="K251" s="176">
        <v>6.8</v>
      </c>
      <c r="L251" s="9">
        <v>800</v>
      </c>
      <c r="M251" s="9">
        <v>900</v>
      </c>
      <c r="N251" s="182" t="s">
        <v>128</v>
      </c>
      <c r="O251" s="183">
        <v>90</v>
      </c>
      <c r="P251" s="184"/>
      <c r="Q251" s="179" t="e">
        <f t="shared" si="47"/>
        <v>#REF!</v>
      </c>
      <c r="R251" s="180" t="e">
        <f t="shared" si="48"/>
        <v>#REF!</v>
      </c>
      <c r="X251" s="140"/>
    </row>
    <row r="252" spans="1:24">
      <c r="A252" s="140" t="e">
        <f t="shared" si="44"/>
        <v>#REF!</v>
      </c>
      <c r="B252" s="140" t="e">
        <f t="shared" si="45"/>
        <v>#REF!</v>
      </c>
      <c r="C252" s="140" t="e">
        <f t="shared" si="40"/>
        <v>#REF!</v>
      </c>
      <c r="D252" s="142">
        <f t="shared" si="46"/>
        <v>49</v>
      </c>
      <c r="E252" s="181" t="s">
        <v>145</v>
      </c>
      <c r="F252" s="181"/>
      <c r="G252" s="175" t="e">
        <f t="shared" si="49"/>
        <v>#REF!</v>
      </c>
      <c r="H252" s="9">
        <v>1.5</v>
      </c>
      <c r="I252" s="9">
        <v>3</v>
      </c>
      <c r="J252" s="176">
        <v>3</v>
      </c>
      <c r="K252" s="176">
        <v>6</v>
      </c>
      <c r="L252" s="9">
        <v>900</v>
      </c>
      <c r="M252" s="9">
        <v>1000</v>
      </c>
      <c r="N252" s="182" t="s">
        <v>128</v>
      </c>
      <c r="O252" s="183">
        <v>90</v>
      </c>
      <c r="P252" s="184"/>
      <c r="Q252" s="179" t="e">
        <f t="shared" si="47"/>
        <v>#REF!</v>
      </c>
      <c r="R252" s="180" t="e">
        <f t="shared" si="48"/>
        <v>#REF!</v>
      </c>
      <c r="X252" s="140"/>
    </row>
    <row r="253" spans="1:24">
      <c r="A253" s="140" t="e">
        <f t="shared" si="44"/>
        <v>#REF!</v>
      </c>
      <c r="B253" s="140" t="e">
        <f t="shared" si="45"/>
        <v>#REF!</v>
      </c>
      <c r="C253" s="140" t="e">
        <f t="shared" si="40"/>
        <v>#REF!</v>
      </c>
      <c r="D253" s="142">
        <f t="shared" si="46"/>
        <v>50</v>
      </c>
      <c r="E253" s="181" t="s">
        <v>146</v>
      </c>
      <c r="F253" s="181"/>
      <c r="G253" s="175" t="e">
        <f t="shared" si="49"/>
        <v>#REF!</v>
      </c>
      <c r="H253" s="9">
        <v>9.1</v>
      </c>
      <c r="I253" s="9">
        <v>15.8</v>
      </c>
      <c r="J253" s="176">
        <v>18.2</v>
      </c>
      <c r="K253" s="176">
        <v>31.6</v>
      </c>
      <c r="L253" s="9">
        <v>300</v>
      </c>
      <c r="M253" s="9">
        <v>300</v>
      </c>
      <c r="N253" s="182" t="s">
        <v>129</v>
      </c>
      <c r="O253" s="183">
        <v>90</v>
      </c>
      <c r="P253" s="184"/>
      <c r="Q253" s="179" t="e">
        <f t="shared" si="47"/>
        <v>#REF!</v>
      </c>
      <c r="R253" s="180" t="e">
        <f t="shared" si="48"/>
        <v>#REF!</v>
      </c>
      <c r="X253" s="140"/>
    </row>
    <row r="254" spans="1:24">
      <c r="A254" s="140" t="e">
        <f t="shared" si="44"/>
        <v>#REF!</v>
      </c>
      <c r="B254" s="140" t="e">
        <f t="shared" si="45"/>
        <v>#REF!</v>
      </c>
      <c r="C254" s="140" t="e">
        <f t="shared" si="40"/>
        <v>#REF!</v>
      </c>
      <c r="D254" s="142">
        <f t="shared" si="46"/>
        <v>51</v>
      </c>
      <c r="E254" s="181" t="s">
        <v>146</v>
      </c>
      <c r="F254" s="181"/>
      <c r="G254" s="175" t="e">
        <f t="shared" si="49"/>
        <v>#REF!</v>
      </c>
      <c r="H254" s="9">
        <v>6.9</v>
      </c>
      <c r="I254" s="9">
        <v>11.9</v>
      </c>
      <c r="J254" s="176">
        <v>13.8</v>
      </c>
      <c r="K254" s="176">
        <v>23.8</v>
      </c>
      <c r="L254" s="9">
        <v>300</v>
      </c>
      <c r="M254" s="9">
        <v>400</v>
      </c>
      <c r="N254" s="182" t="s">
        <v>129</v>
      </c>
      <c r="O254" s="183">
        <v>90</v>
      </c>
      <c r="P254" s="184"/>
      <c r="Q254" s="179" t="e">
        <f t="shared" si="47"/>
        <v>#REF!</v>
      </c>
      <c r="R254" s="180" t="e">
        <f t="shared" si="48"/>
        <v>#REF!</v>
      </c>
      <c r="X254" s="140"/>
    </row>
    <row r="255" spans="1:24">
      <c r="A255" s="140" t="e">
        <f t="shared" si="44"/>
        <v>#REF!</v>
      </c>
      <c r="B255" s="140" t="e">
        <f t="shared" si="45"/>
        <v>#REF!</v>
      </c>
      <c r="C255" s="140" t="e">
        <f t="shared" si="40"/>
        <v>#REF!</v>
      </c>
      <c r="D255" s="142">
        <f t="shared" si="46"/>
        <v>52</v>
      </c>
      <c r="E255" s="181" t="s">
        <v>146</v>
      </c>
      <c r="F255" s="181"/>
      <c r="G255" s="175" t="e">
        <f t="shared" si="49"/>
        <v>#REF!</v>
      </c>
      <c r="H255" s="9">
        <v>5.5</v>
      </c>
      <c r="I255" s="9">
        <v>9.6</v>
      </c>
      <c r="J255" s="176">
        <v>11</v>
      </c>
      <c r="K255" s="176">
        <v>19.2</v>
      </c>
      <c r="L255" s="9">
        <v>400</v>
      </c>
      <c r="M255" s="9">
        <v>500</v>
      </c>
      <c r="N255" s="182" t="s">
        <v>129</v>
      </c>
      <c r="O255" s="183">
        <v>90</v>
      </c>
      <c r="P255" s="184"/>
      <c r="Q255" s="179" t="e">
        <f t="shared" si="47"/>
        <v>#REF!</v>
      </c>
      <c r="R255" s="180" t="e">
        <f t="shared" si="48"/>
        <v>#REF!</v>
      </c>
      <c r="X255" s="140"/>
    </row>
    <row r="256" spans="1:24">
      <c r="A256" s="140" t="e">
        <f t="shared" si="44"/>
        <v>#REF!</v>
      </c>
      <c r="B256" s="140" t="e">
        <f t="shared" si="45"/>
        <v>#REF!</v>
      </c>
      <c r="C256" s="140" t="e">
        <f t="shared" si="40"/>
        <v>#REF!</v>
      </c>
      <c r="D256" s="142">
        <f t="shared" si="46"/>
        <v>53</v>
      </c>
      <c r="E256" s="181" t="s">
        <v>146</v>
      </c>
      <c r="F256" s="181"/>
      <c r="G256" s="175" t="e">
        <f t="shared" si="49"/>
        <v>#REF!</v>
      </c>
      <c r="H256" s="9">
        <v>4.5999999999999996</v>
      </c>
      <c r="I256" s="9">
        <v>7.9</v>
      </c>
      <c r="J256" s="176">
        <v>9.1999999999999993</v>
      </c>
      <c r="K256" s="176">
        <v>15.8</v>
      </c>
      <c r="L256" s="9">
        <v>500</v>
      </c>
      <c r="M256" s="9">
        <v>600</v>
      </c>
      <c r="N256" s="182" t="s">
        <v>129</v>
      </c>
      <c r="O256" s="183">
        <v>90</v>
      </c>
      <c r="P256" s="184"/>
      <c r="Q256" s="179" t="e">
        <f t="shared" si="47"/>
        <v>#REF!</v>
      </c>
      <c r="R256" s="180" t="e">
        <f t="shared" si="48"/>
        <v>#REF!</v>
      </c>
      <c r="X256" s="140"/>
    </row>
    <row r="257" spans="1:24">
      <c r="A257" s="140" t="e">
        <f t="shared" si="44"/>
        <v>#REF!</v>
      </c>
      <c r="B257" s="140" t="e">
        <f t="shared" si="45"/>
        <v>#REF!</v>
      </c>
      <c r="C257" s="140" t="e">
        <f t="shared" si="40"/>
        <v>#REF!</v>
      </c>
      <c r="D257" s="142">
        <f t="shared" si="46"/>
        <v>54</v>
      </c>
      <c r="E257" s="181" t="s">
        <v>146</v>
      </c>
      <c r="F257" s="181"/>
      <c r="G257" s="175" t="e">
        <f t="shared" si="49"/>
        <v>#REF!</v>
      </c>
      <c r="H257" s="9">
        <v>3.8</v>
      </c>
      <c r="I257" s="9">
        <v>6.6</v>
      </c>
      <c r="J257" s="176">
        <v>7.6</v>
      </c>
      <c r="K257" s="176">
        <v>13.2</v>
      </c>
      <c r="L257" s="9">
        <v>600</v>
      </c>
      <c r="M257" s="9">
        <v>700</v>
      </c>
      <c r="N257" s="182" t="s">
        <v>129</v>
      </c>
      <c r="O257" s="183">
        <v>90</v>
      </c>
      <c r="P257" s="184"/>
      <c r="Q257" s="179" t="e">
        <f t="shared" si="47"/>
        <v>#REF!</v>
      </c>
      <c r="R257" s="180" t="e">
        <f t="shared" si="48"/>
        <v>#REF!</v>
      </c>
      <c r="X257" s="140"/>
    </row>
    <row r="258" spans="1:24">
      <c r="A258" s="140" t="e">
        <f t="shared" si="44"/>
        <v>#REF!</v>
      </c>
      <c r="B258" s="140" t="e">
        <f t="shared" si="45"/>
        <v>#REF!</v>
      </c>
      <c r="C258" s="140" t="e">
        <f t="shared" si="40"/>
        <v>#REF!</v>
      </c>
      <c r="D258" s="142">
        <f t="shared" si="46"/>
        <v>55</v>
      </c>
      <c r="E258" s="181" t="s">
        <v>146</v>
      </c>
      <c r="F258" s="181"/>
      <c r="G258" s="175" t="e">
        <f t="shared" si="49"/>
        <v>#REF!</v>
      </c>
      <c r="H258" s="9">
        <v>3.4</v>
      </c>
      <c r="I258" s="9">
        <v>5.9</v>
      </c>
      <c r="J258" s="176">
        <v>6.8</v>
      </c>
      <c r="K258" s="176">
        <v>11.8</v>
      </c>
      <c r="L258" s="9">
        <v>700</v>
      </c>
      <c r="M258" s="9">
        <v>800</v>
      </c>
      <c r="N258" s="182" t="s">
        <v>129</v>
      </c>
      <c r="O258" s="183">
        <v>90</v>
      </c>
      <c r="P258" s="184"/>
      <c r="Q258" s="179" t="e">
        <f t="shared" si="47"/>
        <v>#REF!</v>
      </c>
      <c r="R258" s="180" t="e">
        <f t="shared" si="48"/>
        <v>#REF!</v>
      </c>
      <c r="X258" s="140"/>
    </row>
    <row r="259" spans="1:24">
      <c r="A259" s="140" t="e">
        <f t="shared" si="44"/>
        <v>#REF!</v>
      </c>
      <c r="B259" s="140" t="e">
        <f t="shared" si="45"/>
        <v>#REF!</v>
      </c>
      <c r="C259" s="140" t="e">
        <f t="shared" si="40"/>
        <v>#REF!</v>
      </c>
      <c r="D259" s="142">
        <f t="shared" si="46"/>
        <v>56</v>
      </c>
      <c r="E259" s="181" t="s">
        <v>146</v>
      </c>
      <c r="F259" s="181"/>
      <c r="G259" s="175" t="e">
        <f t="shared" si="49"/>
        <v>#REF!</v>
      </c>
      <c r="H259" s="9">
        <v>3</v>
      </c>
      <c r="I259" s="9">
        <v>5.2</v>
      </c>
      <c r="J259" s="176">
        <v>6</v>
      </c>
      <c r="K259" s="176">
        <v>10.4</v>
      </c>
      <c r="L259" s="9">
        <v>800</v>
      </c>
      <c r="M259" s="9">
        <v>900</v>
      </c>
      <c r="N259" s="182" t="s">
        <v>129</v>
      </c>
      <c r="O259" s="183">
        <v>90</v>
      </c>
      <c r="P259" s="184"/>
      <c r="Q259" s="179" t="e">
        <f t="shared" si="47"/>
        <v>#REF!</v>
      </c>
      <c r="R259" s="180" t="e">
        <f t="shared" si="48"/>
        <v>#REF!</v>
      </c>
      <c r="X259" s="140"/>
    </row>
    <row r="260" spans="1:24">
      <c r="A260" s="140" t="e">
        <f t="shared" si="44"/>
        <v>#REF!</v>
      </c>
      <c r="B260" s="140" t="e">
        <f t="shared" si="45"/>
        <v>#REF!</v>
      </c>
      <c r="C260" s="140" t="e">
        <f t="shared" si="40"/>
        <v>#REF!</v>
      </c>
      <c r="D260" s="142">
        <f t="shared" si="46"/>
        <v>57</v>
      </c>
      <c r="E260" s="181" t="s">
        <v>146</v>
      </c>
      <c r="F260" s="181"/>
      <c r="G260" s="175" t="e">
        <f t="shared" si="49"/>
        <v>#REF!</v>
      </c>
      <c r="H260" s="9">
        <v>2.7</v>
      </c>
      <c r="I260" s="9">
        <v>4.7</v>
      </c>
      <c r="J260" s="176">
        <v>5.4</v>
      </c>
      <c r="K260" s="176">
        <v>9.4</v>
      </c>
      <c r="L260" s="9">
        <v>900</v>
      </c>
      <c r="M260" s="9">
        <v>1000</v>
      </c>
      <c r="N260" s="182" t="s">
        <v>129</v>
      </c>
      <c r="O260" s="183">
        <v>90</v>
      </c>
      <c r="P260" s="184"/>
      <c r="Q260" s="179" t="e">
        <f t="shared" si="47"/>
        <v>#REF!</v>
      </c>
      <c r="R260" s="180" t="e">
        <f t="shared" si="48"/>
        <v>#REF!</v>
      </c>
      <c r="X260" s="140"/>
    </row>
    <row r="261" spans="1:24">
      <c r="A261" s="140" t="e">
        <f t="shared" si="44"/>
        <v>#REF!</v>
      </c>
      <c r="B261" s="140" t="e">
        <f t="shared" si="45"/>
        <v>#REF!</v>
      </c>
      <c r="C261" s="140" t="e">
        <f t="shared" si="40"/>
        <v>#REF!</v>
      </c>
      <c r="D261" s="142">
        <f t="shared" si="46"/>
        <v>58</v>
      </c>
      <c r="E261" s="181" t="s">
        <v>147</v>
      </c>
      <c r="F261" s="181"/>
      <c r="G261" s="175" t="e">
        <f t="shared" si="49"/>
        <v>#REF!</v>
      </c>
      <c r="H261" s="9">
        <v>11.9</v>
      </c>
      <c r="I261" s="9">
        <v>20.8</v>
      </c>
      <c r="J261" s="176">
        <v>23.8</v>
      </c>
      <c r="K261" s="176">
        <v>41.6</v>
      </c>
      <c r="L261" s="9">
        <v>300</v>
      </c>
      <c r="M261" s="9">
        <v>300</v>
      </c>
      <c r="N261" s="182" t="s">
        <v>131</v>
      </c>
      <c r="O261" s="183">
        <v>90</v>
      </c>
      <c r="P261" s="184"/>
      <c r="Q261" s="179" t="e">
        <f t="shared" si="47"/>
        <v>#REF!</v>
      </c>
      <c r="R261" s="180" t="e">
        <f t="shared" si="48"/>
        <v>#REF!</v>
      </c>
      <c r="X261" s="140"/>
    </row>
    <row r="262" spans="1:24">
      <c r="A262" s="140" t="e">
        <f t="shared" si="44"/>
        <v>#REF!</v>
      </c>
      <c r="B262" s="140" t="e">
        <f t="shared" si="45"/>
        <v>#REF!</v>
      </c>
      <c r="C262" s="140" t="e">
        <f t="shared" si="40"/>
        <v>#REF!</v>
      </c>
      <c r="D262" s="142">
        <f t="shared" si="46"/>
        <v>59</v>
      </c>
      <c r="E262" s="181" t="s">
        <v>147</v>
      </c>
      <c r="F262" s="181"/>
      <c r="G262" s="175" t="e">
        <f t="shared" si="49"/>
        <v>#REF!</v>
      </c>
      <c r="H262" s="9">
        <v>8.9</v>
      </c>
      <c r="I262" s="9">
        <v>15.6</v>
      </c>
      <c r="J262" s="176">
        <v>17.8</v>
      </c>
      <c r="K262" s="176">
        <v>31.2</v>
      </c>
      <c r="L262" s="9">
        <v>300</v>
      </c>
      <c r="M262" s="9">
        <v>400</v>
      </c>
      <c r="N262" s="182" t="s">
        <v>131</v>
      </c>
      <c r="O262" s="183">
        <v>90</v>
      </c>
      <c r="P262" s="184"/>
      <c r="Q262" s="179" t="e">
        <f t="shared" si="47"/>
        <v>#REF!</v>
      </c>
      <c r="R262" s="180" t="e">
        <f t="shared" si="48"/>
        <v>#REF!</v>
      </c>
      <c r="X262" s="140"/>
    </row>
    <row r="263" spans="1:24">
      <c r="A263" s="140" t="e">
        <f t="shared" si="44"/>
        <v>#REF!</v>
      </c>
      <c r="B263" s="140" t="e">
        <f t="shared" si="45"/>
        <v>#REF!</v>
      </c>
      <c r="C263" s="140" t="e">
        <f t="shared" si="40"/>
        <v>#REF!</v>
      </c>
      <c r="D263" s="142">
        <f t="shared" si="46"/>
        <v>60</v>
      </c>
      <c r="E263" s="181" t="s">
        <v>147</v>
      </c>
      <c r="F263" s="181"/>
      <c r="G263" s="175" t="e">
        <f t="shared" si="49"/>
        <v>#REF!</v>
      </c>
      <c r="H263" s="9">
        <v>7.2</v>
      </c>
      <c r="I263" s="9">
        <v>12.5</v>
      </c>
      <c r="J263" s="176">
        <v>14.4</v>
      </c>
      <c r="K263" s="176">
        <v>25</v>
      </c>
      <c r="L263" s="9">
        <v>400</v>
      </c>
      <c r="M263" s="9">
        <v>500</v>
      </c>
      <c r="N263" s="182" t="s">
        <v>131</v>
      </c>
      <c r="O263" s="183">
        <v>90</v>
      </c>
      <c r="P263" s="184"/>
      <c r="Q263" s="179" t="e">
        <f t="shared" si="47"/>
        <v>#REF!</v>
      </c>
      <c r="R263" s="180" t="e">
        <f t="shared" si="48"/>
        <v>#REF!</v>
      </c>
      <c r="X263" s="140"/>
    </row>
    <row r="264" spans="1:24">
      <c r="A264" s="140" t="e">
        <f t="shared" si="44"/>
        <v>#REF!</v>
      </c>
      <c r="B264" s="140" t="e">
        <f t="shared" si="45"/>
        <v>#REF!</v>
      </c>
      <c r="C264" s="140" t="e">
        <f t="shared" si="40"/>
        <v>#REF!</v>
      </c>
      <c r="D264" s="142">
        <f t="shared" si="46"/>
        <v>61</v>
      </c>
      <c r="E264" s="181" t="s">
        <v>147</v>
      </c>
      <c r="F264" s="181"/>
      <c r="G264" s="175" t="e">
        <f t="shared" si="49"/>
        <v>#REF!</v>
      </c>
      <c r="H264" s="9">
        <v>6</v>
      </c>
      <c r="I264" s="9">
        <v>10.4</v>
      </c>
      <c r="J264" s="176">
        <v>12</v>
      </c>
      <c r="K264" s="176">
        <v>20.8</v>
      </c>
      <c r="L264" s="9">
        <v>500</v>
      </c>
      <c r="M264" s="9">
        <v>600</v>
      </c>
      <c r="N264" s="182" t="s">
        <v>131</v>
      </c>
      <c r="O264" s="183">
        <v>90</v>
      </c>
      <c r="P264" s="184"/>
      <c r="Q264" s="179" t="e">
        <f t="shared" si="47"/>
        <v>#REF!</v>
      </c>
      <c r="R264" s="180" t="e">
        <f t="shared" si="48"/>
        <v>#REF!</v>
      </c>
      <c r="X264" s="140"/>
    </row>
    <row r="265" spans="1:24">
      <c r="A265" s="140" t="e">
        <f t="shared" si="44"/>
        <v>#REF!</v>
      </c>
      <c r="B265" s="140" t="e">
        <f t="shared" si="45"/>
        <v>#REF!</v>
      </c>
      <c r="C265" s="140" t="e">
        <f t="shared" si="40"/>
        <v>#REF!</v>
      </c>
      <c r="D265" s="142">
        <f t="shared" si="46"/>
        <v>62</v>
      </c>
      <c r="E265" s="181" t="s">
        <v>147</v>
      </c>
      <c r="F265" s="181"/>
      <c r="G265" s="175" t="e">
        <f t="shared" si="49"/>
        <v>#REF!</v>
      </c>
      <c r="H265" s="9">
        <v>4.9000000000000004</v>
      </c>
      <c r="I265" s="9">
        <v>8.6999999999999993</v>
      </c>
      <c r="J265" s="176">
        <v>9.8000000000000007</v>
      </c>
      <c r="K265" s="176">
        <v>17.399999999999999</v>
      </c>
      <c r="L265" s="9">
        <v>600</v>
      </c>
      <c r="M265" s="9">
        <v>700</v>
      </c>
      <c r="N265" s="182" t="s">
        <v>131</v>
      </c>
      <c r="O265" s="183">
        <v>90</v>
      </c>
      <c r="P265" s="184"/>
      <c r="Q265" s="179" t="e">
        <f t="shared" si="47"/>
        <v>#REF!</v>
      </c>
      <c r="R265" s="180" t="e">
        <f t="shared" si="48"/>
        <v>#REF!</v>
      </c>
      <c r="X265" s="140"/>
    </row>
    <row r="266" spans="1:24">
      <c r="A266" s="140" t="e">
        <f t="shared" si="44"/>
        <v>#REF!</v>
      </c>
      <c r="B266" s="140" t="e">
        <f t="shared" si="45"/>
        <v>#REF!</v>
      </c>
      <c r="C266" s="140" t="e">
        <f t="shared" si="40"/>
        <v>#REF!</v>
      </c>
      <c r="D266" s="142">
        <f t="shared" si="46"/>
        <v>63</v>
      </c>
      <c r="E266" s="181" t="s">
        <v>147</v>
      </c>
      <c r="F266" s="181"/>
      <c r="G266" s="175" t="e">
        <f t="shared" si="49"/>
        <v>#REF!</v>
      </c>
      <c r="H266" s="9">
        <v>4.4000000000000004</v>
      </c>
      <c r="I266" s="9">
        <v>7.8</v>
      </c>
      <c r="J266" s="176">
        <v>8.8000000000000007</v>
      </c>
      <c r="K266" s="176">
        <v>15.6</v>
      </c>
      <c r="L266" s="9">
        <v>700</v>
      </c>
      <c r="M266" s="9">
        <v>800</v>
      </c>
      <c r="N266" s="182" t="s">
        <v>131</v>
      </c>
      <c r="O266" s="183">
        <v>90</v>
      </c>
      <c r="P266" s="184"/>
      <c r="Q266" s="179" t="e">
        <f t="shared" si="47"/>
        <v>#REF!</v>
      </c>
      <c r="R266" s="180" t="e">
        <f t="shared" si="48"/>
        <v>#REF!</v>
      </c>
      <c r="X266" s="140"/>
    </row>
    <row r="267" spans="1:24">
      <c r="A267" s="140" t="e">
        <f t="shared" si="44"/>
        <v>#REF!</v>
      </c>
      <c r="B267" s="140" t="e">
        <f t="shared" si="45"/>
        <v>#REF!</v>
      </c>
      <c r="C267" s="140" t="e">
        <f t="shared" si="40"/>
        <v>#REF!</v>
      </c>
      <c r="D267" s="142">
        <f t="shared" si="46"/>
        <v>64</v>
      </c>
      <c r="E267" s="181" t="s">
        <v>147</v>
      </c>
      <c r="F267" s="181"/>
      <c r="G267" s="175" t="e">
        <f t="shared" si="49"/>
        <v>#REF!</v>
      </c>
      <c r="H267" s="9">
        <v>3.9</v>
      </c>
      <c r="I267" s="9">
        <v>6.9</v>
      </c>
      <c r="J267" s="176">
        <v>7.8</v>
      </c>
      <c r="K267" s="176">
        <v>13.8</v>
      </c>
      <c r="L267" s="9">
        <v>800</v>
      </c>
      <c r="M267" s="9">
        <v>900</v>
      </c>
      <c r="N267" s="182" t="s">
        <v>131</v>
      </c>
      <c r="O267" s="183">
        <v>90</v>
      </c>
      <c r="P267" s="184"/>
      <c r="Q267" s="179" t="e">
        <f t="shared" si="47"/>
        <v>#REF!</v>
      </c>
      <c r="R267" s="180" t="e">
        <f t="shared" si="48"/>
        <v>#REF!</v>
      </c>
      <c r="X267" s="140"/>
    </row>
    <row r="268" spans="1:24">
      <c r="A268" s="140" t="e">
        <f t="shared" si="44"/>
        <v>#REF!</v>
      </c>
      <c r="B268" s="140" t="e">
        <f t="shared" ref="B268:B302" si="50">IF(AND($R268&gt;=$L268,$R268&lt;=$M268,$Q268&gt;=$J268,$Q268&lt;=$K268),IF(M268&lt;2000,D268,D268+2000),IF(M268&lt;2000,IF(AND($R268&gt;=$L268,$R268&lt;=$M268,$Q268&gt;=$H268,$Q268&lt;=$K268),A268,"-")))</f>
        <v>#REF!</v>
      </c>
      <c r="C268" s="140" t="e">
        <f t="shared" si="40"/>
        <v>#REF!</v>
      </c>
      <c r="D268" s="142">
        <f t="shared" si="46"/>
        <v>65</v>
      </c>
      <c r="E268" s="181" t="s">
        <v>147</v>
      </c>
      <c r="F268" s="181"/>
      <c r="G268" s="175" t="e">
        <f t="shared" si="49"/>
        <v>#REF!</v>
      </c>
      <c r="H268" s="9">
        <v>3.6</v>
      </c>
      <c r="I268" s="9">
        <v>6.2</v>
      </c>
      <c r="J268" s="176">
        <v>7.2</v>
      </c>
      <c r="K268" s="176">
        <v>12.4</v>
      </c>
      <c r="L268" s="9">
        <v>900</v>
      </c>
      <c r="M268" s="9">
        <v>1000</v>
      </c>
      <c r="N268" s="182" t="s">
        <v>131</v>
      </c>
      <c r="O268" s="183">
        <v>90</v>
      </c>
      <c r="P268" s="184"/>
      <c r="Q268" s="179" t="e">
        <f t="shared" ref="Q268:Q302" si="51">MXВес</f>
        <v>#REF!</v>
      </c>
      <c r="R268" s="180" t="e">
        <f t="shared" ref="R268:R302" si="52">MXВысота</f>
        <v>#REF!</v>
      </c>
      <c r="X268" s="140"/>
    </row>
    <row r="269" spans="1:24">
      <c r="A269" s="140" t="e">
        <f t="shared" ref="A269:A302" si="53">IF(AND($R269&gt;=$L269,$R269&lt;=$M269,$Q269&gt;=$H269,$Q269&lt;=$I269),IF(M269&lt;2000,D269,D269+2000),"-")</f>
        <v>#REF!</v>
      </c>
      <c r="B269" s="140" t="e">
        <f t="shared" si="50"/>
        <v>#REF!</v>
      </c>
      <c r="C269" s="140" t="e">
        <f t="shared" ref="C269:C302" si="54">IF(G269=1,A269,B269)</f>
        <v>#REF!</v>
      </c>
      <c r="D269" s="142">
        <f t="shared" si="46"/>
        <v>66</v>
      </c>
      <c r="E269" s="181" t="s">
        <v>342</v>
      </c>
      <c r="F269" s="181"/>
      <c r="G269" s="175" t="e">
        <f t="shared" si="49"/>
        <v>#REF!</v>
      </c>
      <c r="H269" s="9">
        <v>0</v>
      </c>
      <c r="I269" s="9">
        <v>1000</v>
      </c>
      <c r="J269" s="176">
        <v>0</v>
      </c>
      <c r="K269" s="176">
        <v>2000</v>
      </c>
      <c r="L269" s="9">
        <v>0</v>
      </c>
      <c r="M269" s="9">
        <v>2000</v>
      </c>
      <c r="N269" s="182" t="s">
        <v>131</v>
      </c>
      <c r="O269" s="183">
        <v>90</v>
      </c>
      <c r="P269" s="184"/>
      <c r="Q269" s="179" t="e">
        <f t="shared" si="51"/>
        <v>#REF!</v>
      </c>
      <c r="R269" s="180" t="e">
        <f t="shared" si="52"/>
        <v>#REF!</v>
      </c>
      <c r="X269" s="140"/>
    </row>
    <row r="270" spans="1:24">
      <c r="A270" s="140" t="e">
        <f t="shared" si="53"/>
        <v>#REF!</v>
      </c>
      <c r="B270" s="140" t="e">
        <f t="shared" si="50"/>
        <v>#REF!</v>
      </c>
      <c r="C270" s="140" t="e">
        <f t="shared" si="54"/>
        <v>#REF!</v>
      </c>
      <c r="D270" s="142">
        <f>D269+1</f>
        <v>67</v>
      </c>
      <c r="E270" s="185" t="s">
        <v>41</v>
      </c>
      <c r="F270" s="185"/>
      <c r="G270" s="175" t="e">
        <f t="shared" ref="G270:G302" si="55">IF($O$201&lt;=600,IF(SMALL($A$270:$A$302,1)&lt;2000,1,2),IF(AND($M$201&lt;=$M$200,$O$201&lt;=$O$200),1,2))</f>
        <v>#REF!</v>
      </c>
      <c r="H270" s="9">
        <v>3.8</v>
      </c>
      <c r="I270" s="9">
        <v>7.1</v>
      </c>
      <c r="J270" s="176">
        <v>7.6</v>
      </c>
      <c r="K270" s="176">
        <v>14.2</v>
      </c>
      <c r="L270" s="9">
        <v>300</v>
      </c>
      <c r="M270" s="9">
        <v>300</v>
      </c>
      <c r="N270" s="186" t="s">
        <v>127</v>
      </c>
      <c r="O270" s="187">
        <v>75</v>
      </c>
      <c r="P270" s="188"/>
      <c r="Q270" s="179" t="e">
        <f t="shared" si="51"/>
        <v>#REF!</v>
      </c>
      <c r="R270" s="180" t="e">
        <f t="shared" si="52"/>
        <v>#REF!</v>
      </c>
    </row>
    <row r="271" spans="1:24">
      <c r="A271" s="140" t="e">
        <f t="shared" si="53"/>
        <v>#REF!</v>
      </c>
      <c r="B271" s="140" t="e">
        <f t="shared" si="50"/>
        <v>#REF!</v>
      </c>
      <c r="C271" s="140" t="e">
        <f t="shared" si="54"/>
        <v>#REF!</v>
      </c>
      <c r="D271" s="142">
        <f t="shared" ref="D271:D302" si="56">D270+1</f>
        <v>68</v>
      </c>
      <c r="E271" s="185" t="s">
        <v>41</v>
      </c>
      <c r="F271" s="185"/>
      <c r="G271" s="175" t="e">
        <f t="shared" si="55"/>
        <v>#REF!</v>
      </c>
      <c r="H271" s="9">
        <v>2.8</v>
      </c>
      <c r="I271" s="9">
        <v>5.3</v>
      </c>
      <c r="J271" s="176">
        <v>5.6</v>
      </c>
      <c r="K271" s="176">
        <v>10.6</v>
      </c>
      <c r="L271" s="9">
        <v>300</v>
      </c>
      <c r="M271" s="9">
        <v>400</v>
      </c>
      <c r="N271" s="186" t="s">
        <v>127</v>
      </c>
      <c r="O271" s="187">
        <v>75</v>
      </c>
      <c r="P271" s="188"/>
      <c r="Q271" s="179" t="e">
        <f t="shared" si="51"/>
        <v>#REF!</v>
      </c>
      <c r="R271" s="180" t="e">
        <f t="shared" si="52"/>
        <v>#REF!</v>
      </c>
    </row>
    <row r="272" spans="1:24">
      <c r="A272" s="140" t="e">
        <f t="shared" si="53"/>
        <v>#REF!</v>
      </c>
      <c r="B272" s="140" t="e">
        <f t="shared" si="50"/>
        <v>#REF!</v>
      </c>
      <c r="C272" s="140" t="e">
        <f t="shared" si="54"/>
        <v>#REF!</v>
      </c>
      <c r="D272" s="142">
        <f t="shared" si="56"/>
        <v>69</v>
      </c>
      <c r="E272" s="185" t="s">
        <v>41</v>
      </c>
      <c r="F272" s="185"/>
      <c r="G272" s="175" t="e">
        <f t="shared" si="55"/>
        <v>#REF!</v>
      </c>
      <c r="H272" s="9">
        <v>2.2999999999999998</v>
      </c>
      <c r="I272" s="9">
        <v>4.3</v>
      </c>
      <c r="J272" s="176">
        <v>4.5999999999999996</v>
      </c>
      <c r="K272" s="176">
        <v>8.6</v>
      </c>
      <c r="L272" s="9">
        <v>400</v>
      </c>
      <c r="M272" s="9">
        <v>500</v>
      </c>
      <c r="N272" s="186" t="s">
        <v>127</v>
      </c>
      <c r="O272" s="187">
        <v>75</v>
      </c>
      <c r="P272" s="188"/>
      <c r="Q272" s="179" t="e">
        <f t="shared" si="51"/>
        <v>#REF!</v>
      </c>
      <c r="R272" s="180" t="e">
        <f t="shared" si="52"/>
        <v>#REF!</v>
      </c>
      <c r="X272" s="140"/>
    </row>
    <row r="273" spans="1:24">
      <c r="A273" s="140" t="e">
        <f t="shared" si="53"/>
        <v>#REF!</v>
      </c>
      <c r="B273" s="140" t="e">
        <f t="shared" si="50"/>
        <v>#REF!</v>
      </c>
      <c r="C273" s="140" t="e">
        <f t="shared" si="54"/>
        <v>#REF!</v>
      </c>
      <c r="D273" s="142">
        <f t="shared" si="56"/>
        <v>70</v>
      </c>
      <c r="E273" s="185" t="s">
        <v>41</v>
      </c>
      <c r="F273" s="185"/>
      <c r="G273" s="175" t="e">
        <f t="shared" si="55"/>
        <v>#REF!</v>
      </c>
      <c r="H273" s="9">
        <v>1.9</v>
      </c>
      <c r="I273" s="9">
        <v>3.5</v>
      </c>
      <c r="J273" s="176">
        <v>3.8</v>
      </c>
      <c r="K273" s="176">
        <v>7</v>
      </c>
      <c r="L273" s="9">
        <v>500</v>
      </c>
      <c r="M273" s="9">
        <v>600</v>
      </c>
      <c r="N273" s="186" t="s">
        <v>127</v>
      </c>
      <c r="O273" s="187">
        <v>75</v>
      </c>
      <c r="P273" s="188"/>
      <c r="Q273" s="179" t="e">
        <f t="shared" si="51"/>
        <v>#REF!</v>
      </c>
      <c r="R273" s="180" t="e">
        <f t="shared" si="52"/>
        <v>#REF!</v>
      </c>
      <c r="X273" s="140"/>
    </row>
    <row r="274" spans="1:24">
      <c r="A274" s="140" t="e">
        <f t="shared" si="53"/>
        <v>#REF!</v>
      </c>
      <c r="B274" s="140" t="e">
        <f t="shared" si="50"/>
        <v>#REF!</v>
      </c>
      <c r="C274" s="140" t="e">
        <f t="shared" si="54"/>
        <v>#REF!</v>
      </c>
      <c r="D274" s="142">
        <f t="shared" si="56"/>
        <v>71</v>
      </c>
      <c r="E274" s="185" t="s">
        <v>41</v>
      </c>
      <c r="F274" s="185"/>
      <c r="G274" s="175" t="e">
        <f t="shared" si="55"/>
        <v>#REF!</v>
      </c>
      <c r="H274" s="9">
        <v>1.6</v>
      </c>
      <c r="I274" s="9">
        <v>3</v>
      </c>
      <c r="J274" s="176">
        <v>3.2</v>
      </c>
      <c r="K274" s="176">
        <v>6</v>
      </c>
      <c r="L274" s="9">
        <v>600</v>
      </c>
      <c r="M274" s="9">
        <v>700</v>
      </c>
      <c r="N274" s="186" t="s">
        <v>127</v>
      </c>
      <c r="O274" s="187">
        <v>75</v>
      </c>
      <c r="P274" s="188"/>
      <c r="Q274" s="179" t="e">
        <f t="shared" si="51"/>
        <v>#REF!</v>
      </c>
      <c r="R274" s="180" t="e">
        <f t="shared" si="52"/>
        <v>#REF!</v>
      </c>
      <c r="X274" s="140"/>
    </row>
    <row r="275" spans="1:24">
      <c r="A275" s="140" t="e">
        <f t="shared" si="53"/>
        <v>#REF!</v>
      </c>
      <c r="B275" s="140" t="e">
        <f t="shared" si="50"/>
        <v>#REF!</v>
      </c>
      <c r="C275" s="140" t="e">
        <f t="shared" si="54"/>
        <v>#REF!</v>
      </c>
      <c r="D275" s="142">
        <f t="shared" si="56"/>
        <v>72</v>
      </c>
      <c r="E275" s="185" t="s">
        <v>41</v>
      </c>
      <c r="F275" s="185"/>
      <c r="G275" s="175" t="e">
        <f t="shared" si="55"/>
        <v>#REF!</v>
      </c>
      <c r="H275" s="9">
        <v>1.4</v>
      </c>
      <c r="I275" s="9">
        <v>2.7</v>
      </c>
      <c r="J275" s="176">
        <v>2.8</v>
      </c>
      <c r="K275" s="176">
        <v>5.4</v>
      </c>
      <c r="L275" s="9">
        <v>700</v>
      </c>
      <c r="M275" s="9">
        <v>800</v>
      </c>
      <c r="N275" s="186" t="s">
        <v>127</v>
      </c>
      <c r="O275" s="187">
        <v>75</v>
      </c>
      <c r="P275" s="188"/>
      <c r="Q275" s="179" t="e">
        <f t="shared" si="51"/>
        <v>#REF!</v>
      </c>
      <c r="R275" s="180" t="e">
        <f t="shared" si="52"/>
        <v>#REF!</v>
      </c>
      <c r="X275" s="140"/>
    </row>
    <row r="276" spans="1:24">
      <c r="A276" s="140" t="e">
        <f t="shared" si="53"/>
        <v>#REF!</v>
      </c>
      <c r="B276" s="140" t="e">
        <f t="shared" si="50"/>
        <v>#REF!</v>
      </c>
      <c r="C276" s="140" t="e">
        <f t="shared" si="54"/>
        <v>#REF!</v>
      </c>
      <c r="D276" s="142">
        <f t="shared" si="56"/>
        <v>73</v>
      </c>
      <c r="E276" s="185" t="s">
        <v>41</v>
      </c>
      <c r="F276" s="185"/>
      <c r="G276" s="175" t="e">
        <f t="shared" si="55"/>
        <v>#REF!</v>
      </c>
      <c r="H276" s="9">
        <v>1.3</v>
      </c>
      <c r="I276" s="9">
        <v>2.4</v>
      </c>
      <c r="J276" s="176">
        <v>2.6</v>
      </c>
      <c r="K276" s="176">
        <v>4.8</v>
      </c>
      <c r="L276" s="9">
        <v>800</v>
      </c>
      <c r="M276" s="9">
        <v>900</v>
      </c>
      <c r="N276" s="186" t="s">
        <v>127</v>
      </c>
      <c r="O276" s="187">
        <v>75</v>
      </c>
      <c r="P276" s="188"/>
      <c r="Q276" s="179" t="e">
        <f t="shared" si="51"/>
        <v>#REF!</v>
      </c>
      <c r="R276" s="180" t="e">
        <f t="shared" si="52"/>
        <v>#REF!</v>
      </c>
      <c r="X276" s="140"/>
    </row>
    <row r="277" spans="1:24">
      <c r="A277" s="140" t="e">
        <f t="shared" si="53"/>
        <v>#REF!</v>
      </c>
      <c r="B277" s="140" t="e">
        <f t="shared" si="50"/>
        <v>#REF!</v>
      </c>
      <c r="C277" s="140" t="e">
        <f t="shared" si="54"/>
        <v>#REF!</v>
      </c>
      <c r="D277" s="142">
        <f t="shared" si="56"/>
        <v>74</v>
      </c>
      <c r="E277" s="185" t="s">
        <v>41</v>
      </c>
      <c r="F277" s="185"/>
      <c r="G277" s="175" t="e">
        <f t="shared" si="55"/>
        <v>#REF!</v>
      </c>
      <c r="H277" s="9">
        <v>1.1000000000000001</v>
      </c>
      <c r="I277" s="9">
        <v>2.1</v>
      </c>
      <c r="J277" s="176">
        <v>2.2000000000000002</v>
      </c>
      <c r="K277" s="176">
        <v>4.2</v>
      </c>
      <c r="L277" s="9">
        <v>900</v>
      </c>
      <c r="M277" s="9">
        <v>1000</v>
      </c>
      <c r="N277" s="186" t="s">
        <v>127</v>
      </c>
      <c r="O277" s="187">
        <v>75</v>
      </c>
      <c r="P277" s="188"/>
      <c r="Q277" s="179" t="e">
        <f t="shared" si="51"/>
        <v>#REF!</v>
      </c>
      <c r="R277" s="180" t="e">
        <f t="shared" si="52"/>
        <v>#REF!</v>
      </c>
      <c r="X277" s="140"/>
    </row>
    <row r="278" spans="1:24">
      <c r="A278" s="140" t="e">
        <f t="shared" si="53"/>
        <v>#REF!</v>
      </c>
      <c r="B278" s="140" t="e">
        <f t="shared" si="50"/>
        <v>#REF!</v>
      </c>
      <c r="C278" s="140" t="e">
        <f t="shared" si="54"/>
        <v>#REF!</v>
      </c>
      <c r="D278" s="142">
        <f t="shared" si="56"/>
        <v>75</v>
      </c>
      <c r="E278" s="185" t="s">
        <v>145</v>
      </c>
      <c r="F278" s="185"/>
      <c r="G278" s="175" t="e">
        <f t="shared" si="55"/>
        <v>#REF!</v>
      </c>
      <c r="H278" s="9">
        <v>6.7</v>
      </c>
      <c r="I278" s="9">
        <v>13.7</v>
      </c>
      <c r="J278" s="176">
        <v>13.4</v>
      </c>
      <c r="K278" s="176">
        <v>27.4</v>
      </c>
      <c r="L278" s="9">
        <v>300</v>
      </c>
      <c r="M278" s="9">
        <v>300</v>
      </c>
      <c r="N278" s="186" t="s">
        <v>128</v>
      </c>
      <c r="O278" s="187">
        <v>75</v>
      </c>
      <c r="P278" s="188"/>
      <c r="Q278" s="179" t="e">
        <f t="shared" si="51"/>
        <v>#REF!</v>
      </c>
      <c r="R278" s="180" t="e">
        <f t="shared" si="52"/>
        <v>#REF!</v>
      </c>
      <c r="X278" s="140"/>
    </row>
    <row r="279" spans="1:24">
      <c r="A279" s="140" t="e">
        <f t="shared" si="53"/>
        <v>#REF!</v>
      </c>
      <c r="B279" s="140" t="e">
        <f t="shared" si="50"/>
        <v>#REF!</v>
      </c>
      <c r="C279" s="140" t="e">
        <f t="shared" si="54"/>
        <v>#REF!</v>
      </c>
      <c r="D279" s="142">
        <f t="shared" si="56"/>
        <v>76</v>
      </c>
      <c r="E279" s="185" t="s">
        <v>145</v>
      </c>
      <c r="F279" s="185"/>
      <c r="G279" s="175" t="e">
        <f t="shared" si="55"/>
        <v>#REF!</v>
      </c>
      <c r="H279" s="9">
        <v>5</v>
      </c>
      <c r="I279" s="9">
        <v>10.3</v>
      </c>
      <c r="J279" s="176">
        <v>10</v>
      </c>
      <c r="K279" s="176">
        <v>20.6</v>
      </c>
      <c r="L279" s="9">
        <v>300</v>
      </c>
      <c r="M279" s="9">
        <v>400</v>
      </c>
      <c r="N279" s="186" t="s">
        <v>128</v>
      </c>
      <c r="O279" s="187">
        <v>75</v>
      </c>
      <c r="P279" s="188"/>
      <c r="Q279" s="179" t="e">
        <f t="shared" si="51"/>
        <v>#REF!</v>
      </c>
      <c r="R279" s="180" t="e">
        <f t="shared" si="52"/>
        <v>#REF!</v>
      </c>
      <c r="X279" s="140"/>
    </row>
    <row r="280" spans="1:24">
      <c r="A280" s="140" t="e">
        <f t="shared" si="53"/>
        <v>#REF!</v>
      </c>
      <c r="B280" s="140" t="e">
        <f t="shared" si="50"/>
        <v>#REF!</v>
      </c>
      <c r="C280" s="140" t="e">
        <f t="shared" si="54"/>
        <v>#REF!</v>
      </c>
      <c r="D280" s="142">
        <f t="shared" si="56"/>
        <v>77</v>
      </c>
      <c r="E280" s="185" t="s">
        <v>145</v>
      </c>
      <c r="F280" s="185"/>
      <c r="G280" s="175" t="e">
        <f t="shared" si="55"/>
        <v>#REF!</v>
      </c>
      <c r="H280" s="9">
        <v>4.0999999999999996</v>
      </c>
      <c r="I280" s="9">
        <v>8.3000000000000007</v>
      </c>
      <c r="J280" s="176">
        <v>8.1999999999999993</v>
      </c>
      <c r="K280" s="176">
        <v>16.600000000000001</v>
      </c>
      <c r="L280" s="9">
        <v>400</v>
      </c>
      <c r="M280" s="9">
        <v>500</v>
      </c>
      <c r="N280" s="186" t="s">
        <v>128</v>
      </c>
      <c r="O280" s="187">
        <v>75</v>
      </c>
      <c r="P280" s="188"/>
      <c r="Q280" s="179" t="e">
        <f t="shared" si="51"/>
        <v>#REF!</v>
      </c>
      <c r="R280" s="180" t="e">
        <f t="shared" si="52"/>
        <v>#REF!</v>
      </c>
      <c r="X280" s="140"/>
    </row>
    <row r="281" spans="1:24">
      <c r="A281" s="140" t="e">
        <f t="shared" si="53"/>
        <v>#REF!</v>
      </c>
      <c r="B281" s="140" t="e">
        <f t="shared" si="50"/>
        <v>#REF!</v>
      </c>
      <c r="C281" s="140" t="e">
        <f t="shared" si="54"/>
        <v>#REF!</v>
      </c>
      <c r="D281" s="142">
        <f t="shared" si="56"/>
        <v>78</v>
      </c>
      <c r="E281" s="185" t="s">
        <v>145</v>
      </c>
      <c r="F281" s="185"/>
      <c r="G281" s="175" t="e">
        <f t="shared" si="55"/>
        <v>#REF!</v>
      </c>
      <c r="H281" s="9">
        <v>3.3</v>
      </c>
      <c r="I281" s="9">
        <v>7</v>
      </c>
      <c r="J281" s="176">
        <v>6.6</v>
      </c>
      <c r="K281" s="176">
        <v>14</v>
      </c>
      <c r="L281" s="9">
        <v>500</v>
      </c>
      <c r="M281" s="9">
        <v>600</v>
      </c>
      <c r="N281" s="186" t="s">
        <v>128</v>
      </c>
      <c r="O281" s="187">
        <v>75</v>
      </c>
      <c r="P281" s="188"/>
      <c r="Q281" s="179" t="e">
        <f t="shared" si="51"/>
        <v>#REF!</v>
      </c>
      <c r="R281" s="180" t="e">
        <f t="shared" si="52"/>
        <v>#REF!</v>
      </c>
      <c r="X281" s="140"/>
    </row>
    <row r="282" spans="1:24">
      <c r="A282" s="140" t="e">
        <f t="shared" si="53"/>
        <v>#REF!</v>
      </c>
      <c r="B282" s="140" t="e">
        <f t="shared" si="50"/>
        <v>#REF!</v>
      </c>
      <c r="C282" s="140" t="e">
        <f t="shared" si="54"/>
        <v>#REF!</v>
      </c>
      <c r="D282" s="142">
        <f t="shared" si="56"/>
        <v>79</v>
      </c>
      <c r="E282" s="185" t="s">
        <v>145</v>
      </c>
      <c r="F282" s="185"/>
      <c r="G282" s="175" t="e">
        <f t="shared" si="55"/>
        <v>#REF!</v>
      </c>
      <c r="H282" s="9">
        <v>2.8</v>
      </c>
      <c r="I282" s="9">
        <v>5.7</v>
      </c>
      <c r="J282" s="176">
        <v>5.6</v>
      </c>
      <c r="K282" s="176">
        <v>11.4</v>
      </c>
      <c r="L282" s="9">
        <v>600</v>
      </c>
      <c r="M282" s="9">
        <v>700</v>
      </c>
      <c r="N282" s="186" t="s">
        <v>128</v>
      </c>
      <c r="O282" s="187">
        <v>75</v>
      </c>
      <c r="P282" s="188"/>
      <c r="Q282" s="179" t="e">
        <f t="shared" si="51"/>
        <v>#REF!</v>
      </c>
      <c r="R282" s="180" t="e">
        <f t="shared" si="52"/>
        <v>#REF!</v>
      </c>
      <c r="X282" s="140"/>
    </row>
    <row r="283" spans="1:24">
      <c r="A283" s="140" t="e">
        <f t="shared" si="53"/>
        <v>#REF!</v>
      </c>
      <c r="B283" s="140" t="e">
        <f t="shared" si="50"/>
        <v>#REF!</v>
      </c>
      <c r="C283" s="140" t="e">
        <f t="shared" si="54"/>
        <v>#REF!</v>
      </c>
      <c r="D283" s="142">
        <f t="shared" si="56"/>
        <v>80</v>
      </c>
      <c r="E283" s="185" t="s">
        <v>145</v>
      </c>
      <c r="F283" s="185"/>
      <c r="G283" s="175" t="e">
        <f t="shared" si="55"/>
        <v>#REF!</v>
      </c>
      <c r="H283" s="9">
        <v>2.5</v>
      </c>
      <c r="I283" s="9">
        <v>5.0999999999999996</v>
      </c>
      <c r="J283" s="176">
        <v>5</v>
      </c>
      <c r="K283" s="176">
        <v>10.199999999999999</v>
      </c>
      <c r="L283" s="9">
        <v>700</v>
      </c>
      <c r="M283" s="9">
        <v>800</v>
      </c>
      <c r="N283" s="186" t="s">
        <v>128</v>
      </c>
      <c r="O283" s="187">
        <v>75</v>
      </c>
      <c r="P283" s="188"/>
      <c r="Q283" s="179" t="e">
        <f t="shared" si="51"/>
        <v>#REF!</v>
      </c>
      <c r="R283" s="180" t="e">
        <f t="shared" si="52"/>
        <v>#REF!</v>
      </c>
      <c r="X283" s="140"/>
    </row>
    <row r="284" spans="1:24">
      <c r="A284" s="140" t="e">
        <f t="shared" si="53"/>
        <v>#REF!</v>
      </c>
      <c r="B284" s="140" t="e">
        <f t="shared" si="50"/>
        <v>#REF!</v>
      </c>
      <c r="C284" s="140" t="e">
        <f t="shared" si="54"/>
        <v>#REF!</v>
      </c>
      <c r="D284" s="142">
        <f t="shared" si="56"/>
        <v>81</v>
      </c>
      <c r="E284" s="185" t="s">
        <v>145</v>
      </c>
      <c r="F284" s="185"/>
      <c r="G284" s="175" t="e">
        <f t="shared" si="55"/>
        <v>#REF!</v>
      </c>
      <c r="H284" s="9">
        <v>2.2000000000000002</v>
      </c>
      <c r="I284" s="9">
        <v>4.5999999999999996</v>
      </c>
      <c r="J284" s="176">
        <v>4.4000000000000004</v>
      </c>
      <c r="K284" s="176">
        <v>9.1999999999999993</v>
      </c>
      <c r="L284" s="9">
        <v>800</v>
      </c>
      <c r="M284" s="9">
        <v>900</v>
      </c>
      <c r="N284" s="186" t="s">
        <v>128</v>
      </c>
      <c r="O284" s="187">
        <v>75</v>
      </c>
      <c r="P284" s="188"/>
      <c r="Q284" s="179" t="e">
        <f t="shared" si="51"/>
        <v>#REF!</v>
      </c>
      <c r="R284" s="180" t="e">
        <f t="shared" si="52"/>
        <v>#REF!</v>
      </c>
      <c r="X284" s="140"/>
    </row>
    <row r="285" spans="1:24">
      <c r="A285" s="140" t="e">
        <f t="shared" si="53"/>
        <v>#REF!</v>
      </c>
      <c r="B285" s="140" t="e">
        <f t="shared" si="50"/>
        <v>#REF!</v>
      </c>
      <c r="C285" s="140" t="e">
        <f t="shared" si="54"/>
        <v>#REF!</v>
      </c>
      <c r="D285" s="142">
        <f t="shared" si="56"/>
        <v>82</v>
      </c>
      <c r="E285" s="185" t="s">
        <v>145</v>
      </c>
      <c r="F285" s="185"/>
      <c r="G285" s="175" t="e">
        <f t="shared" si="55"/>
        <v>#REF!</v>
      </c>
      <c r="H285" s="9">
        <v>2</v>
      </c>
      <c r="I285" s="9">
        <v>4.0999999999999996</v>
      </c>
      <c r="J285" s="176">
        <v>4</v>
      </c>
      <c r="K285" s="176">
        <v>8.1999999999999993</v>
      </c>
      <c r="L285" s="9">
        <v>900</v>
      </c>
      <c r="M285" s="9">
        <v>1000</v>
      </c>
      <c r="N285" s="186" t="s">
        <v>128</v>
      </c>
      <c r="O285" s="187">
        <v>75</v>
      </c>
      <c r="P285" s="188"/>
      <c r="Q285" s="179" t="e">
        <f t="shared" si="51"/>
        <v>#REF!</v>
      </c>
      <c r="R285" s="180" t="e">
        <f t="shared" si="52"/>
        <v>#REF!</v>
      </c>
      <c r="X285" s="140"/>
    </row>
    <row r="286" spans="1:24">
      <c r="A286" s="140" t="e">
        <f t="shared" si="53"/>
        <v>#REF!</v>
      </c>
      <c r="B286" s="140" t="e">
        <f t="shared" si="50"/>
        <v>#REF!</v>
      </c>
      <c r="C286" s="140" t="e">
        <f t="shared" si="54"/>
        <v>#REF!</v>
      </c>
      <c r="D286" s="142">
        <f t="shared" si="56"/>
        <v>83</v>
      </c>
      <c r="E286" s="185" t="s">
        <v>146</v>
      </c>
      <c r="F286" s="185"/>
      <c r="G286" s="175" t="e">
        <f t="shared" si="55"/>
        <v>#REF!</v>
      </c>
      <c r="H286" s="9">
        <v>11.9</v>
      </c>
      <c r="I286" s="9">
        <v>21</v>
      </c>
      <c r="J286" s="176">
        <v>23.8</v>
      </c>
      <c r="K286" s="176">
        <v>42</v>
      </c>
      <c r="L286" s="9">
        <v>300</v>
      </c>
      <c r="M286" s="9">
        <v>300</v>
      </c>
      <c r="N286" s="186" t="s">
        <v>129</v>
      </c>
      <c r="O286" s="187">
        <v>75</v>
      </c>
      <c r="P286" s="188"/>
      <c r="Q286" s="179" t="e">
        <f t="shared" si="51"/>
        <v>#REF!</v>
      </c>
      <c r="R286" s="180" t="e">
        <f t="shared" si="52"/>
        <v>#REF!</v>
      </c>
      <c r="X286" s="140"/>
    </row>
    <row r="287" spans="1:24">
      <c r="A287" s="140" t="e">
        <f t="shared" si="53"/>
        <v>#REF!</v>
      </c>
      <c r="B287" s="140" t="e">
        <f t="shared" si="50"/>
        <v>#REF!</v>
      </c>
      <c r="C287" s="140" t="e">
        <f t="shared" si="54"/>
        <v>#REF!</v>
      </c>
      <c r="D287" s="142">
        <f t="shared" si="56"/>
        <v>84</v>
      </c>
      <c r="E287" s="185" t="s">
        <v>146</v>
      </c>
      <c r="F287" s="185"/>
      <c r="G287" s="175" t="e">
        <f t="shared" si="55"/>
        <v>#REF!</v>
      </c>
      <c r="H287" s="9">
        <v>8.9</v>
      </c>
      <c r="I287" s="9">
        <v>15.8</v>
      </c>
      <c r="J287" s="176">
        <v>17.8</v>
      </c>
      <c r="K287" s="176">
        <v>31.6</v>
      </c>
      <c r="L287" s="9">
        <v>300</v>
      </c>
      <c r="M287" s="9">
        <v>400</v>
      </c>
      <c r="N287" s="186" t="s">
        <v>129</v>
      </c>
      <c r="O287" s="187">
        <v>75</v>
      </c>
      <c r="P287" s="188"/>
      <c r="Q287" s="179" t="e">
        <f t="shared" si="51"/>
        <v>#REF!</v>
      </c>
      <c r="R287" s="180" t="e">
        <f t="shared" si="52"/>
        <v>#REF!</v>
      </c>
      <c r="X287" s="140"/>
    </row>
    <row r="288" spans="1:24">
      <c r="A288" s="140" t="e">
        <f t="shared" si="53"/>
        <v>#REF!</v>
      </c>
      <c r="B288" s="140" t="e">
        <f t="shared" si="50"/>
        <v>#REF!</v>
      </c>
      <c r="C288" s="140" t="e">
        <f t="shared" si="54"/>
        <v>#REF!</v>
      </c>
      <c r="D288" s="142">
        <f t="shared" si="56"/>
        <v>85</v>
      </c>
      <c r="E288" s="185" t="s">
        <v>146</v>
      </c>
      <c r="F288" s="185"/>
      <c r="G288" s="175" t="e">
        <f t="shared" si="55"/>
        <v>#REF!</v>
      </c>
      <c r="H288" s="9">
        <v>7.2</v>
      </c>
      <c r="I288" s="9">
        <v>12.5</v>
      </c>
      <c r="J288" s="176">
        <v>14.4</v>
      </c>
      <c r="K288" s="176">
        <v>25</v>
      </c>
      <c r="L288" s="9">
        <v>400</v>
      </c>
      <c r="M288" s="9">
        <v>500</v>
      </c>
      <c r="N288" s="186" t="s">
        <v>129</v>
      </c>
      <c r="O288" s="187">
        <v>75</v>
      </c>
      <c r="P288" s="188"/>
      <c r="Q288" s="179" t="e">
        <f t="shared" si="51"/>
        <v>#REF!</v>
      </c>
      <c r="R288" s="180" t="e">
        <f t="shared" si="52"/>
        <v>#REF!</v>
      </c>
      <c r="X288" s="140"/>
    </row>
    <row r="289" spans="1:24">
      <c r="A289" s="140" t="e">
        <f t="shared" si="53"/>
        <v>#REF!</v>
      </c>
      <c r="B289" s="140" t="e">
        <f t="shared" si="50"/>
        <v>#REF!</v>
      </c>
      <c r="C289" s="140" t="e">
        <f t="shared" si="54"/>
        <v>#REF!</v>
      </c>
      <c r="D289" s="142">
        <f t="shared" si="56"/>
        <v>86</v>
      </c>
      <c r="E289" s="185" t="s">
        <v>146</v>
      </c>
      <c r="F289" s="185"/>
      <c r="G289" s="175" t="e">
        <f t="shared" si="55"/>
        <v>#REF!</v>
      </c>
      <c r="H289" s="9">
        <v>5.9</v>
      </c>
      <c r="I289" s="9">
        <v>10.6</v>
      </c>
      <c r="J289" s="176">
        <v>11.8</v>
      </c>
      <c r="K289" s="176">
        <v>21.2</v>
      </c>
      <c r="L289" s="9">
        <v>500</v>
      </c>
      <c r="M289" s="9">
        <v>600</v>
      </c>
      <c r="N289" s="186" t="s">
        <v>129</v>
      </c>
      <c r="O289" s="187">
        <v>75</v>
      </c>
      <c r="P289" s="188"/>
      <c r="Q289" s="179" t="e">
        <f t="shared" si="51"/>
        <v>#REF!</v>
      </c>
      <c r="R289" s="180" t="e">
        <f t="shared" si="52"/>
        <v>#REF!</v>
      </c>
      <c r="X289" s="140"/>
    </row>
    <row r="290" spans="1:24">
      <c r="A290" s="140" t="e">
        <f t="shared" si="53"/>
        <v>#REF!</v>
      </c>
      <c r="B290" s="140" t="e">
        <f t="shared" si="50"/>
        <v>#REF!</v>
      </c>
      <c r="C290" s="140" t="e">
        <f t="shared" si="54"/>
        <v>#REF!</v>
      </c>
      <c r="D290" s="142">
        <f t="shared" si="56"/>
        <v>87</v>
      </c>
      <c r="E290" s="185" t="s">
        <v>146</v>
      </c>
      <c r="F290" s="185"/>
      <c r="G290" s="175" t="e">
        <f t="shared" si="55"/>
        <v>#REF!</v>
      </c>
      <c r="H290" s="9">
        <v>5</v>
      </c>
      <c r="I290" s="9">
        <v>8.8000000000000007</v>
      </c>
      <c r="J290" s="176">
        <v>10</v>
      </c>
      <c r="K290" s="176">
        <v>17.600000000000001</v>
      </c>
      <c r="L290" s="9">
        <v>600</v>
      </c>
      <c r="M290" s="9">
        <v>700</v>
      </c>
      <c r="N290" s="186" t="s">
        <v>129</v>
      </c>
      <c r="O290" s="187">
        <v>75</v>
      </c>
      <c r="P290" s="188"/>
      <c r="Q290" s="179" t="e">
        <f t="shared" si="51"/>
        <v>#REF!</v>
      </c>
      <c r="R290" s="180" t="e">
        <f t="shared" si="52"/>
        <v>#REF!</v>
      </c>
      <c r="X290" s="140"/>
    </row>
    <row r="291" spans="1:24">
      <c r="A291" s="140" t="e">
        <f t="shared" si="53"/>
        <v>#REF!</v>
      </c>
      <c r="B291" s="140" t="e">
        <f t="shared" si="50"/>
        <v>#REF!</v>
      </c>
      <c r="C291" s="140" t="e">
        <f t="shared" si="54"/>
        <v>#REF!</v>
      </c>
      <c r="D291" s="142">
        <f t="shared" si="56"/>
        <v>88</v>
      </c>
      <c r="E291" s="185" t="s">
        <v>146</v>
      </c>
      <c r="F291" s="185"/>
      <c r="G291" s="175" t="e">
        <f t="shared" si="55"/>
        <v>#REF!</v>
      </c>
      <c r="H291" s="9">
        <v>4.4000000000000004</v>
      </c>
      <c r="I291" s="9">
        <v>7.9</v>
      </c>
      <c r="J291" s="176">
        <v>8.8000000000000007</v>
      </c>
      <c r="K291" s="176">
        <v>15.8</v>
      </c>
      <c r="L291" s="9">
        <v>700</v>
      </c>
      <c r="M291" s="9">
        <v>800</v>
      </c>
      <c r="N291" s="186" t="s">
        <v>129</v>
      </c>
      <c r="O291" s="187">
        <v>75</v>
      </c>
      <c r="P291" s="188"/>
      <c r="Q291" s="179" t="e">
        <f t="shared" si="51"/>
        <v>#REF!</v>
      </c>
      <c r="R291" s="180" t="e">
        <f t="shared" si="52"/>
        <v>#REF!</v>
      </c>
      <c r="X291" s="140"/>
    </row>
    <row r="292" spans="1:24">
      <c r="A292" s="140" t="e">
        <f t="shared" si="53"/>
        <v>#REF!</v>
      </c>
      <c r="B292" s="140" t="e">
        <f t="shared" si="50"/>
        <v>#REF!</v>
      </c>
      <c r="C292" s="140" t="e">
        <f t="shared" si="54"/>
        <v>#REF!</v>
      </c>
      <c r="D292" s="142">
        <f t="shared" si="56"/>
        <v>89</v>
      </c>
      <c r="E292" s="185" t="s">
        <v>146</v>
      </c>
      <c r="F292" s="185"/>
      <c r="G292" s="175" t="e">
        <f t="shared" si="55"/>
        <v>#REF!</v>
      </c>
      <c r="H292" s="9">
        <v>4</v>
      </c>
      <c r="I292" s="9">
        <v>7</v>
      </c>
      <c r="J292" s="176">
        <v>8</v>
      </c>
      <c r="K292" s="176">
        <v>14</v>
      </c>
      <c r="L292" s="9">
        <v>800</v>
      </c>
      <c r="M292" s="9">
        <v>900</v>
      </c>
      <c r="N292" s="186" t="s">
        <v>129</v>
      </c>
      <c r="O292" s="187">
        <v>75</v>
      </c>
      <c r="P292" s="188"/>
      <c r="Q292" s="179" t="e">
        <f t="shared" si="51"/>
        <v>#REF!</v>
      </c>
      <c r="R292" s="180" t="e">
        <f t="shared" si="52"/>
        <v>#REF!</v>
      </c>
      <c r="X292" s="140"/>
    </row>
    <row r="293" spans="1:24">
      <c r="A293" s="140" t="e">
        <f t="shared" si="53"/>
        <v>#REF!</v>
      </c>
      <c r="B293" s="140" t="e">
        <f t="shared" si="50"/>
        <v>#REF!</v>
      </c>
      <c r="C293" s="140" t="e">
        <f t="shared" si="54"/>
        <v>#REF!</v>
      </c>
      <c r="D293" s="142">
        <f t="shared" si="56"/>
        <v>90</v>
      </c>
      <c r="E293" s="185" t="s">
        <v>146</v>
      </c>
      <c r="F293" s="185"/>
      <c r="G293" s="175" t="e">
        <f t="shared" si="55"/>
        <v>#REF!</v>
      </c>
      <c r="H293" s="9">
        <v>3.6</v>
      </c>
      <c r="I293" s="9">
        <v>6.3</v>
      </c>
      <c r="J293" s="176">
        <v>7.2</v>
      </c>
      <c r="K293" s="176">
        <v>12.6</v>
      </c>
      <c r="L293" s="9">
        <v>900</v>
      </c>
      <c r="M293" s="9">
        <v>1000</v>
      </c>
      <c r="N293" s="186" t="s">
        <v>129</v>
      </c>
      <c r="O293" s="187">
        <v>75</v>
      </c>
      <c r="P293" s="188"/>
      <c r="Q293" s="179" t="e">
        <f t="shared" si="51"/>
        <v>#REF!</v>
      </c>
      <c r="R293" s="180" t="e">
        <f t="shared" si="52"/>
        <v>#REF!</v>
      </c>
      <c r="X293" s="140"/>
    </row>
    <row r="294" spans="1:24">
      <c r="A294" s="140" t="e">
        <f t="shared" si="53"/>
        <v>#REF!</v>
      </c>
      <c r="B294" s="140" t="e">
        <f t="shared" si="50"/>
        <v>#REF!</v>
      </c>
      <c r="C294" s="140" t="e">
        <f t="shared" si="54"/>
        <v>#REF!</v>
      </c>
      <c r="D294" s="142">
        <f t="shared" si="56"/>
        <v>91</v>
      </c>
      <c r="E294" s="185" t="s">
        <v>147</v>
      </c>
      <c r="F294" s="185"/>
      <c r="G294" s="175" t="e">
        <f t="shared" si="55"/>
        <v>#REF!</v>
      </c>
      <c r="H294" s="9">
        <v>15.4</v>
      </c>
      <c r="I294" s="9">
        <v>27.3</v>
      </c>
      <c r="J294" s="176">
        <v>30.8</v>
      </c>
      <c r="K294" s="176">
        <v>54.6</v>
      </c>
      <c r="L294" s="9">
        <v>300</v>
      </c>
      <c r="M294" s="9">
        <v>300</v>
      </c>
      <c r="N294" s="186" t="s">
        <v>131</v>
      </c>
      <c r="O294" s="187">
        <v>75</v>
      </c>
      <c r="P294" s="188"/>
      <c r="Q294" s="179" t="e">
        <f t="shared" si="51"/>
        <v>#REF!</v>
      </c>
      <c r="R294" s="180" t="e">
        <f t="shared" si="52"/>
        <v>#REF!</v>
      </c>
      <c r="X294" s="140"/>
    </row>
    <row r="295" spans="1:24">
      <c r="A295" s="140" t="e">
        <f t="shared" si="53"/>
        <v>#REF!</v>
      </c>
      <c r="B295" s="140" t="e">
        <f t="shared" si="50"/>
        <v>#REF!</v>
      </c>
      <c r="C295" s="140" t="e">
        <f t="shared" si="54"/>
        <v>#REF!</v>
      </c>
      <c r="D295" s="142">
        <f t="shared" si="56"/>
        <v>92</v>
      </c>
      <c r="E295" s="185" t="s">
        <v>147</v>
      </c>
      <c r="F295" s="185"/>
      <c r="G295" s="175" t="e">
        <f t="shared" si="55"/>
        <v>#REF!</v>
      </c>
      <c r="H295" s="9">
        <v>11.6</v>
      </c>
      <c r="I295" s="9">
        <v>20.5</v>
      </c>
      <c r="J295" s="176">
        <v>23.2</v>
      </c>
      <c r="K295" s="176">
        <v>41</v>
      </c>
      <c r="L295" s="9">
        <v>300</v>
      </c>
      <c r="M295" s="9">
        <v>400</v>
      </c>
      <c r="N295" s="186" t="s">
        <v>131</v>
      </c>
      <c r="O295" s="187">
        <v>75</v>
      </c>
      <c r="P295" s="188"/>
      <c r="Q295" s="179" t="e">
        <f t="shared" si="51"/>
        <v>#REF!</v>
      </c>
      <c r="R295" s="180" t="e">
        <f t="shared" si="52"/>
        <v>#REF!</v>
      </c>
      <c r="X295" s="140"/>
    </row>
    <row r="296" spans="1:24">
      <c r="A296" s="140" t="e">
        <f t="shared" si="53"/>
        <v>#REF!</v>
      </c>
      <c r="B296" s="140" t="e">
        <f t="shared" si="50"/>
        <v>#REF!</v>
      </c>
      <c r="C296" s="140" t="e">
        <f t="shared" si="54"/>
        <v>#REF!</v>
      </c>
      <c r="D296" s="142">
        <f t="shared" si="56"/>
        <v>93</v>
      </c>
      <c r="E296" s="185" t="s">
        <v>147</v>
      </c>
      <c r="F296" s="185"/>
      <c r="G296" s="175" t="e">
        <f t="shared" si="55"/>
        <v>#REF!</v>
      </c>
      <c r="H296" s="9">
        <v>9.4</v>
      </c>
      <c r="I296" s="9">
        <v>16.2</v>
      </c>
      <c r="J296" s="176">
        <v>18.8</v>
      </c>
      <c r="K296" s="176">
        <v>32.4</v>
      </c>
      <c r="L296" s="9">
        <v>400</v>
      </c>
      <c r="M296" s="9">
        <v>500</v>
      </c>
      <c r="N296" s="186" t="s">
        <v>131</v>
      </c>
      <c r="O296" s="187">
        <v>75</v>
      </c>
      <c r="P296" s="188"/>
      <c r="Q296" s="179" t="e">
        <f t="shared" si="51"/>
        <v>#REF!</v>
      </c>
      <c r="R296" s="180" t="e">
        <f t="shared" si="52"/>
        <v>#REF!</v>
      </c>
      <c r="X296" s="140"/>
    </row>
    <row r="297" spans="1:24">
      <c r="A297" s="140" t="e">
        <f t="shared" si="53"/>
        <v>#REF!</v>
      </c>
      <c r="B297" s="140" t="e">
        <f t="shared" si="50"/>
        <v>#REF!</v>
      </c>
      <c r="C297" s="140" t="e">
        <f t="shared" si="54"/>
        <v>#REF!</v>
      </c>
      <c r="D297" s="142">
        <f t="shared" si="56"/>
        <v>94</v>
      </c>
      <c r="E297" s="185" t="s">
        <v>147</v>
      </c>
      <c r="F297" s="185"/>
      <c r="G297" s="175" t="e">
        <f t="shared" si="55"/>
        <v>#REF!</v>
      </c>
      <c r="H297" s="9">
        <v>7.6</v>
      </c>
      <c r="I297" s="9">
        <v>13.7</v>
      </c>
      <c r="J297" s="176">
        <v>15.2</v>
      </c>
      <c r="K297" s="176">
        <v>27.4</v>
      </c>
      <c r="L297" s="9">
        <v>500</v>
      </c>
      <c r="M297" s="9">
        <v>600</v>
      </c>
      <c r="N297" s="186" t="s">
        <v>131</v>
      </c>
      <c r="O297" s="187">
        <v>75</v>
      </c>
      <c r="P297" s="188"/>
      <c r="Q297" s="179" t="e">
        <f t="shared" si="51"/>
        <v>#REF!</v>
      </c>
      <c r="R297" s="180" t="e">
        <f t="shared" si="52"/>
        <v>#REF!</v>
      </c>
      <c r="X297" s="140"/>
    </row>
    <row r="298" spans="1:24">
      <c r="A298" s="140" t="e">
        <f t="shared" si="53"/>
        <v>#REF!</v>
      </c>
      <c r="B298" s="140" t="e">
        <f t="shared" si="50"/>
        <v>#REF!</v>
      </c>
      <c r="C298" s="140" t="e">
        <f t="shared" si="54"/>
        <v>#REF!</v>
      </c>
      <c r="D298" s="142">
        <f t="shared" si="56"/>
        <v>95</v>
      </c>
      <c r="E298" s="185" t="s">
        <v>147</v>
      </c>
      <c r="F298" s="185"/>
      <c r="G298" s="175" t="e">
        <f t="shared" si="55"/>
        <v>#REF!</v>
      </c>
      <c r="H298" s="9">
        <v>6.5</v>
      </c>
      <c r="I298" s="9">
        <v>11.4</v>
      </c>
      <c r="J298" s="176">
        <v>13</v>
      </c>
      <c r="K298" s="176">
        <v>22.8</v>
      </c>
      <c r="L298" s="9">
        <v>600</v>
      </c>
      <c r="M298" s="9">
        <v>700</v>
      </c>
      <c r="N298" s="186" t="s">
        <v>131</v>
      </c>
      <c r="O298" s="187">
        <v>75</v>
      </c>
      <c r="P298" s="188"/>
      <c r="Q298" s="179" t="e">
        <f t="shared" si="51"/>
        <v>#REF!</v>
      </c>
      <c r="R298" s="180" t="e">
        <f t="shared" si="52"/>
        <v>#REF!</v>
      </c>
      <c r="X298" s="140"/>
    </row>
    <row r="299" spans="1:24">
      <c r="A299" s="140" t="e">
        <f t="shared" si="53"/>
        <v>#REF!</v>
      </c>
      <c r="B299" s="140" t="e">
        <f t="shared" si="50"/>
        <v>#REF!</v>
      </c>
      <c r="C299" s="140" t="e">
        <f t="shared" si="54"/>
        <v>#REF!</v>
      </c>
      <c r="D299" s="142">
        <f t="shared" si="56"/>
        <v>96</v>
      </c>
      <c r="E299" s="185" t="s">
        <v>147</v>
      </c>
      <c r="F299" s="185"/>
      <c r="G299" s="175" t="e">
        <f t="shared" si="55"/>
        <v>#REF!</v>
      </c>
      <c r="H299" s="9">
        <v>5.7</v>
      </c>
      <c r="I299" s="9">
        <v>10.4</v>
      </c>
      <c r="J299" s="176">
        <v>11.4</v>
      </c>
      <c r="K299" s="176">
        <v>20.8</v>
      </c>
      <c r="L299" s="9">
        <v>700</v>
      </c>
      <c r="M299" s="9">
        <v>800</v>
      </c>
      <c r="N299" s="186" t="s">
        <v>131</v>
      </c>
      <c r="O299" s="187">
        <v>75</v>
      </c>
      <c r="P299" s="188"/>
      <c r="Q299" s="179" t="e">
        <f t="shared" si="51"/>
        <v>#REF!</v>
      </c>
      <c r="R299" s="180" t="e">
        <f t="shared" si="52"/>
        <v>#REF!</v>
      </c>
      <c r="X299" s="140"/>
    </row>
    <row r="300" spans="1:24">
      <c r="A300" s="140" t="e">
        <f t="shared" si="53"/>
        <v>#REF!</v>
      </c>
      <c r="B300" s="140" t="e">
        <f t="shared" si="50"/>
        <v>#REF!</v>
      </c>
      <c r="C300" s="140" t="e">
        <f t="shared" si="54"/>
        <v>#REF!</v>
      </c>
      <c r="D300" s="142">
        <f t="shared" si="56"/>
        <v>97</v>
      </c>
      <c r="E300" s="185" t="s">
        <v>147</v>
      </c>
      <c r="F300" s="185"/>
      <c r="G300" s="175" t="e">
        <f t="shared" si="55"/>
        <v>#REF!</v>
      </c>
      <c r="H300" s="9">
        <v>5.2</v>
      </c>
      <c r="I300" s="9">
        <v>9.1</v>
      </c>
      <c r="J300" s="176">
        <v>10.4</v>
      </c>
      <c r="K300" s="176">
        <v>18.2</v>
      </c>
      <c r="L300" s="9">
        <v>800</v>
      </c>
      <c r="M300" s="9">
        <v>900</v>
      </c>
      <c r="N300" s="186" t="s">
        <v>131</v>
      </c>
      <c r="O300" s="187">
        <v>75</v>
      </c>
      <c r="P300" s="188"/>
      <c r="Q300" s="179" t="e">
        <f t="shared" si="51"/>
        <v>#REF!</v>
      </c>
      <c r="R300" s="180" t="e">
        <f t="shared" si="52"/>
        <v>#REF!</v>
      </c>
      <c r="X300" s="140"/>
    </row>
    <row r="301" spans="1:24">
      <c r="A301" s="140" t="e">
        <f t="shared" si="53"/>
        <v>#REF!</v>
      </c>
      <c r="B301" s="140" t="e">
        <f t="shared" si="50"/>
        <v>#REF!</v>
      </c>
      <c r="C301" s="140" t="e">
        <f t="shared" si="54"/>
        <v>#REF!</v>
      </c>
      <c r="D301" s="142">
        <f t="shared" si="56"/>
        <v>98</v>
      </c>
      <c r="E301" s="185" t="s">
        <v>147</v>
      </c>
      <c r="F301" s="185"/>
      <c r="G301" s="175" t="e">
        <f t="shared" si="55"/>
        <v>#REF!</v>
      </c>
      <c r="H301" s="9">
        <v>4.5999999999999996</v>
      </c>
      <c r="I301" s="9">
        <v>8.1999999999999993</v>
      </c>
      <c r="J301" s="176">
        <v>9.1999999999999993</v>
      </c>
      <c r="K301" s="176">
        <v>16.399999999999999</v>
      </c>
      <c r="L301" s="9">
        <v>900</v>
      </c>
      <c r="M301" s="9">
        <v>1000</v>
      </c>
      <c r="N301" s="186" t="s">
        <v>131</v>
      </c>
      <c r="O301" s="187">
        <v>75</v>
      </c>
      <c r="P301" s="188"/>
      <c r="Q301" s="179" t="e">
        <f t="shared" si="51"/>
        <v>#REF!</v>
      </c>
      <c r="R301" s="180" t="e">
        <f t="shared" si="52"/>
        <v>#REF!</v>
      </c>
      <c r="X301" s="140"/>
    </row>
    <row r="302" spans="1:24">
      <c r="A302" s="140" t="e">
        <f t="shared" si="53"/>
        <v>#REF!</v>
      </c>
      <c r="B302" s="140" t="e">
        <f t="shared" si="50"/>
        <v>#REF!</v>
      </c>
      <c r="C302" s="140" t="e">
        <f t="shared" si="54"/>
        <v>#REF!</v>
      </c>
      <c r="D302" s="142">
        <f t="shared" si="56"/>
        <v>99</v>
      </c>
      <c r="E302" s="185" t="s">
        <v>342</v>
      </c>
      <c r="F302" s="185"/>
      <c r="G302" s="175" t="e">
        <f t="shared" si="55"/>
        <v>#REF!</v>
      </c>
      <c r="H302" s="9">
        <v>0</v>
      </c>
      <c r="I302" s="9">
        <v>1000</v>
      </c>
      <c r="J302" s="176">
        <v>0</v>
      </c>
      <c r="K302" s="176">
        <v>2000</v>
      </c>
      <c r="L302" s="9">
        <v>0</v>
      </c>
      <c r="M302" s="9">
        <v>2000</v>
      </c>
      <c r="N302" s="186" t="s">
        <v>131</v>
      </c>
      <c r="O302" s="187">
        <v>75</v>
      </c>
      <c r="P302" s="188"/>
      <c r="Q302" s="179" t="e">
        <f t="shared" si="51"/>
        <v>#REF!</v>
      </c>
      <c r="R302" s="180" t="e">
        <f t="shared" si="52"/>
        <v>#REF!</v>
      </c>
      <c r="X302" s="140"/>
    </row>
    <row r="303" spans="1:24">
      <c r="A303" s="157"/>
      <c r="B303" s="157"/>
      <c r="C303" s="157"/>
      <c r="D303" s="189"/>
      <c r="E303" s="190"/>
      <c r="F303" s="190"/>
      <c r="G303" s="191"/>
      <c r="H303" s="8"/>
      <c r="I303" s="8"/>
      <c r="J303" s="8"/>
      <c r="K303" s="8"/>
      <c r="L303" s="8"/>
      <c r="M303" s="8"/>
      <c r="N303" s="192"/>
      <c r="O303" s="161"/>
      <c r="P303" s="8"/>
      <c r="Q303" s="162"/>
      <c r="R303" s="157"/>
      <c r="X303" s="140"/>
    </row>
    <row r="304" spans="1:24">
      <c r="M304" s="173">
        <v>320</v>
      </c>
      <c r="O304" s="173">
        <v>610</v>
      </c>
    </row>
    <row r="305" spans="1:24">
      <c r="A305" s="140"/>
      <c r="D305" s="128"/>
      <c r="E305" s="129" t="s">
        <v>46</v>
      </c>
      <c r="F305" s="128"/>
      <c r="G305" s="149" t="s">
        <v>191</v>
      </c>
      <c r="H305" s="131" t="s">
        <v>85</v>
      </c>
      <c r="I305" s="132" t="e">
        <f>DUOВес</f>
        <v>#REF!</v>
      </c>
      <c r="J305" s="132"/>
      <c r="K305" s="132"/>
      <c r="L305" s="131" t="s">
        <v>141</v>
      </c>
      <c r="M305" s="132" t="e">
        <f>DUOВысота</f>
        <v>#REF!</v>
      </c>
      <c r="N305" s="131" t="s">
        <v>218</v>
      </c>
      <c r="O305" s="132" t="e">
        <f>DUOШирина</f>
        <v>#REF!</v>
      </c>
      <c r="Q305" s="131"/>
      <c r="R305" s="193"/>
    </row>
    <row r="306" spans="1:24">
      <c r="A306" s="140">
        <v>1</v>
      </c>
      <c r="B306" s="140">
        <v>2</v>
      </c>
      <c r="C306" s="140"/>
      <c r="D306" s="137"/>
      <c r="E306" s="137" t="s">
        <v>1</v>
      </c>
      <c r="F306" s="137"/>
      <c r="G306" s="137"/>
      <c r="H306" s="138" t="s">
        <v>86</v>
      </c>
      <c r="I306" s="138" t="s">
        <v>87</v>
      </c>
      <c r="J306" s="138"/>
      <c r="K306" s="138"/>
      <c r="L306" s="138" t="s">
        <v>86</v>
      </c>
      <c r="M306" s="138" t="s">
        <v>87</v>
      </c>
      <c r="N306" s="138" t="s">
        <v>88</v>
      </c>
      <c r="O306" s="138" t="s">
        <v>89</v>
      </c>
      <c r="P306" s="138" t="s">
        <v>122</v>
      </c>
      <c r="Q306" s="138" t="s">
        <v>85</v>
      </c>
      <c r="R306" s="138" t="s">
        <v>141</v>
      </c>
    </row>
    <row r="307" spans="1:24">
      <c r="A307" s="140" t="e">
        <f t="shared" ref="A307:A330" si="57">IF(AND($R307&gt;=$L307,$R307&lt;=$M307,$Q307&gt;=$H307,$Q307&lt;=$I307),IF(M307&lt;2000,D307,D307+2000),"-")</f>
        <v>#REF!</v>
      </c>
      <c r="B307" s="140" t="e">
        <f>IF(AND($R307&gt;=$L307,$R307&lt;=$M307,$Q307&gt;=$J307,$Q307&lt;=$K307),IF(M307&lt;2000,D307,D307+2000),IF(M307&lt;2000,IF(AND($R307&gt;=$L307,$R307&lt;=$M307,$Q307&gt;=$H307,$Q307&lt;=$K307),A307,"-")))</f>
        <v>#REF!</v>
      </c>
      <c r="C307" s="140" t="e">
        <f>IF(G307=1,A307,B307)</f>
        <v>#REF!</v>
      </c>
      <c r="D307" s="194">
        <v>1</v>
      </c>
      <c r="E307" s="195" t="s">
        <v>44</v>
      </c>
      <c r="F307" s="195"/>
      <c r="G307" s="195" t="e">
        <f t="shared" ref="G307:G314" si="58">IF($O$305&lt;=600,IF(SMALL($A$307:$A$314,1)&lt;2000,1,2),IF(AND($M$305&lt;=$M$304,$O$304&lt;=$O$305),1,2))</f>
        <v>#REF!</v>
      </c>
      <c r="H307" s="9">
        <v>0</v>
      </c>
      <c r="I307" s="9">
        <v>6</v>
      </c>
      <c r="J307" s="9">
        <v>0</v>
      </c>
      <c r="K307" s="9">
        <v>12</v>
      </c>
      <c r="L307" s="9">
        <v>200</v>
      </c>
      <c r="M307" s="9">
        <v>200</v>
      </c>
      <c r="N307" s="196"/>
      <c r="O307" s="196">
        <v>110</v>
      </c>
      <c r="P307" s="170"/>
      <c r="Q307" s="197" t="e">
        <f t="shared" ref="Q307:Q330" si="59">DUOВес</f>
        <v>#REF!</v>
      </c>
      <c r="R307" s="198" t="e">
        <f t="shared" ref="R307:R330" si="60">DUOВысота</f>
        <v>#REF!</v>
      </c>
    </row>
    <row r="308" spans="1:24">
      <c r="A308" s="140" t="e">
        <f t="shared" si="57"/>
        <v>#REF!</v>
      </c>
      <c r="B308" s="140" t="e">
        <f t="shared" ref="B308:B330" si="61">IF(AND($R308&gt;=$L308,$R308&lt;=$M308,$Q308&gt;=$J308,$Q308&lt;=$K308),IF(M308&lt;2000,D308,D308+2000),IF(M308&lt;2000,IF(AND($R308&gt;=$L308,$R308&lt;=$M308,$Q308&gt;=$H308,$Q308&lt;=$K308),A308,"-")))</f>
        <v>#REF!</v>
      </c>
      <c r="C308" s="140" t="e">
        <f t="shared" ref="C308:C330" si="62">IF(G308=1,A308,B308)</f>
        <v>#REF!</v>
      </c>
      <c r="D308" s="194">
        <f>D307+1</f>
        <v>2</v>
      </c>
      <c r="E308" s="195" t="s">
        <v>44</v>
      </c>
      <c r="F308" s="195"/>
      <c r="G308" s="195" t="e">
        <f t="shared" si="58"/>
        <v>#REF!</v>
      </c>
      <c r="H308" s="9">
        <v>0</v>
      </c>
      <c r="I308" s="9">
        <v>5</v>
      </c>
      <c r="J308" s="9">
        <v>0</v>
      </c>
      <c r="K308" s="9">
        <v>9.5</v>
      </c>
      <c r="L308" s="9">
        <v>200</v>
      </c>
      <c r="M308" s="9">
        <v>250</v>
      </c>
      <c r="N308" s="196"/>
      <c r="O308" s="196">
        <v>110</v>
      </c>
      <c r="P308" s="170"/>
      <c r="Q308" s="197" t="e">
        <f t="shared" si="59"/>
        <v>#REF!</v>
      </c>
      <c r="R308" s="198" t="e">
        <f t="shared" si="60"/>
        <v>#REF!</v>
      </c>
    </row>
    <row r="309" spans="1:24">
      <c r="A309" s="140" t="e">
        <f t="shared" si="57"/>
        <v>#REF!</v>
      </c>
      <c r="B309" s="140" t="e">
        <f t="shared" si="61"/>
        <v>#REF!</v>
      </c>
      <c r="C309" s="140" t="e">
        <f t="shared" si="62"/>
        <v>#REF!</v>
      </c>
      <c r="D309" s="194">
        <f t="shared" ref="D309:D330" si="63">D308+1</f>
        <v>3</v>
      </c>
      <c r="E309" s="195" t="s">
        <v>44</v>
      </c>
      <c r="F309" s="195"/>
      <c r="G309" s="195" t="e">
        <f t="shared" si="58"/>
        <v>#REF!</v>
      </c>
      <c r="H309" s="9">
        <v>0</v>
      </c>
      <c r="I309" s="9">
        <v>4</v>
      </c>
      <c r="J309" s="9">
        <v>0</v>
      </c>
      <c r="K309" s="9">
        <v>8</v>
      </c>
      <c r="L309" s="9">
        <v>250</v>
      </c>
      <c r="M309" s="9">
        <v>300</v>
      </c>
      <c r="N309" s="196"/>
      <c r="O309" s="196">
        <v>110</v>
      </c>
      <c r="P309" s="170"/>
      <c r="Q309" s="197" t="e">
        <f t="shared" si="59"/>
        <v>#REF!</v>
      </c>
      <c r="R309" s="198" t="e">
        <f t="shared" si="60"/>
        <v>#REF!</v>
      </c>
    </row>
    <row r="310" spans="1:24">
      <c r="A310" s="140" t="e">
        <f t="shared" si="57"/>
        <v>#REF!</v>
      </c>
      <c r="B310" s="140" t="e">
        <f t="shared" si="61"/>
        <v>#REF!</v>
      </c>
      <c r="C310" s="140" t="e">
        <f t="shared" si="62"/>
        <v>#REF!</v>
      </c>
      <c r="D310" s="194">
        <f t="shared" si="63"/>
        <v>4</v>
      </c>
      <c r="E310" s="195" t="s">
        <v>44</v>
      </c>
      <c r="F310" s="195"/>
      <c r="G310" s="195" t="e">
        <f t="shared" si="58"/>
        <v>#REF!</v>
      </c>
      <c r="H310" s="9">
        <v>0</v>
      </c>
      <c r="I310" s="9">
        <v>3.5</v>
      </c>
      <c r="J310" s="9">
        <v>0</v>
      </c>
      <c r="K310" s="9">
        <v>7</v>
      </c>
      <c r="L310" s="9">
        <v>300</v>
      </c>
      <c r="M310" s="9">
        <v>350</v>
      </c>
      <c r="N310" s="196"/>
      <c r="O310" s="196">
        <v>110</v>
      </c>
      <c r="P310" s="170"/>
      <c r="Q310" s="197" t="e">
        <f t="shared" si="59"/>
        <v>#REF!</v>
      </c>
      <c r="R310" s="198" t="e">
        <f t="shared" si="60"/>
        <v>#REF!</v>
      </c>
      <c r="X310" s="140"/>
    </row>
    <row r="311" spans="1:24">
      <c r="A311" s="140" t="e">
        <f t="shared" si="57"/>
        <v>#REF!</v>
      </c>
      <c r="B311" s="140" t="e">
        <f t="shared" si="61"/>
        <v>#REF!</v>
      </c>
      <c r="C311" s="140" t="e">
        <f t="shared" si="62"/>
        <v>#REF!</v>
      </c>
      <c r="D311" s="194">
        <f t="shared" si="63"/>
        <v>5</v>
      </c>
      <c r="E311" s="195" t="s">
        <v>44</v>
      </c>
      <c r="F311" s="195"/>
      <c r="G311" s="195" t="e">
        <f t="shared" si="58"/>
        <v>#REF!</v>
      </c>
      <c r="H311" s="9">
        <v>0</v>
      </c>
      <c r="I311" s="9">
        <v>3</v>
      </c>
      <c r="J311" s="9">
        <v>0</v>
      </c>
      <c r="K311" s="9">
        <v>6</v>
      </c>
      <c r="L311" s="9">
        <v>350</v>
      </c>
      <c r="M311" s="9">
        <v>400</v>
      </c>
      <c r="N311" s="196"/>
      <c r="O311" s="196">
        <v>110</v>
      </c>
      <c r="P311" s="170"/>
      <c r="Q311" s="197" t="e">
        <f t="shared" si="59"/>
        <v>#REF!</v>
      </c>
      <c r="R311" s="198" t="e">
        <f t="shared" si="60"/>
        <v>#REF!</v>
      </c>
      <c r="X311" s="140"/>
    </row>
    <row r="312" spans="1:24">
      <c r="A312" s="140" t="e">
        <f t="shared" si="57"/>
        <v>#REF!</v>
      </c>
      <c r="B312" s="140" t="e">
        <f t="shared" si="61"/>
        <v>#REF!</v>
      </c>
      <c r="C312" s="140" t="e">
        <f t="shared" si="62"/>
        <v>#REF!</v>
      </c>
      <c r="D312" s="194">
        <f t="shared" si="63"/>
        <v>6</v>
      </c>
      <c r="E312" s="195" t="s">
        <v>44</v>
      </c>
      <c r="F312" s="195"/>
      <c r="G312" s="195" t="e">
        <f t="shared" si="58"/>
        <v>#REF!</v>
      </c>
      <c r="H312" s="9">
        <v>0</v>
      </c>
      <c r="I312" s="9">
        <v>2.5</v>
      </c>
      <c r="J312" s="9">
        <v>0</v>
      </c>
      <c r="K312" s="9">
        <v>5.5</v>
      </c>
      <c r="L312" s="9">
        <v>400</v>
      </c>
      <c r="M312" s="9">
        <v>450</v>
      </c>
      <c r="N312" s="196"/>
      <c r="O312" s="196">
        <v>110</v>
      </c>
      <c r="P312" s="170"/>
      <c r="Q312" s="197" t="e">
        <f t="shared" si="59"/>
        <v>#REF!</v>
      </c>
      <c r="R312" s="198" t="e">
        <f t="shared" si="60"/>
        <v>#REF!</v>
      </c>
      <c r="X312" s="140"/>
    </row>
    <row r="313" spans="1:24">
      <c r="A313" s="140" t="e">
        <f t="shared" si="57"/>
        <v>#REF!</v>
      </c>
      <c r="B313" s="140" t="e">
        <f t="shared" si="61"/>
        <v>#REF!</v>
      </c>
      <c r="C313" s="140" t="e">
        <f t="shared" si="62"/>
        <v>#REF!</v>
      </c>
      <c r="D313" s="194">
        <f t="shared" si="63"/>
        <v>7</v>
      </c>
      <c r="E313" s="195" t="s">
        <v>44</v>
      </c>
      <c r="F313" s="195"/>
      <c r="G313" s="195" t="e">
        <f t="shared" si="58"/>
        <v>#REF!</v>
      </c>
      <c r="H313" s="9">
        <v>0</v>
      </c>
      <c r="I313" s="9">
        <v>2</v>
      </c>
      <c r="J313" s="9">
        <v>0</v>
      </c>
      <c r="K313" s="9">
        <v>5</v>
      </c>
      <c r="L313" s="9">
        <v>450</v>
      </c>
      <c r="M313" s="9">
        <v>500</v>
      </c>
      <c r="N313" s="196"/>
      <c r="O313" s="196">
        <v>110</v>
      </c>
      <c r="P313" s="170"/>
      <c r="Q313" s="197" t="e">
        <f t="shared" si="59"/>
        <v>#REF!</v>
      </c>
      <c r="R313" s="198" t="e">
        <f t="shared" si="60"/>
        <v>#REF!</v>
      </c>
      <c r="X313" s="140"/>
    </row>
    <row r="314" spans="1:24">
      <c r="A314" s="140" t="e">
        <f t="shared" si="57"/>
        <v>#REF!</v>
      </c>
      <c r="B314" s="140" t="e">
        <f t="shared" si="61"/>
        <v>#REF!</v>
      </c>
      <c r="C314" s="140" t="e">
        <f t="shared" si="62"/>
        <v>#REF!</v>
      </c>
      <c r="D314" s="194">
        <f t="shared" si="63"/>
        <v>8</v>
      </c>
      <c r="E314" s="195" t="s">
        <v>342</v>
      </c>
      <c r="F314" s="195"/>
      <c r="G314" s="195" t="e">
        <f t="shared" si="58"/>
        <v>#REF!</v>
      </c>
      <c r="H314" s="9">
        <v>0</v>
      </c>
      <c r="I314" s="9">
        <v>1000</v>
      </c>
      <c r="J314" s="9">
        <v>0</v>
      </c>
      <c r="K314" s="9">
        <v>1000</v>
      </c>
      <c r="L314" s="9">
        <v>0</v>
      </c>
      <c r="M314" s="9">
        <v>2000</v>
      </c>
      <c r="N314" s="196"/>
      <c r="O314" s="196">
        <v>110</v>
      </c>
      <c r="P314" s="170"/>
      <c r="Q314" s="197" t="e">
        <f t="shared" si="59"/>
        <v>#REF!</v>
      </c>
      <c r="R314" s="198" t="e">
        <f t="shared" si="60"/>
        <v>#REF!</v>
      </c>
      <c r="X314" s="140"/>
    </row>
    <row r="315" spans="1:24">
      <c r="A315" s="140" t="e">
        <f t="shared" si="57"/>
        <v>#REF!</v>
      </c>
      <c r="B315" s="140" t="e">
        <f t="shared" si="61"/>
        <v>#REF!</v>
      </c>
      <c r="C315" s="140" t="e">
        <f t="shared" si="62"/>
        <v>#REF!</v>
      </c>
      <c r="D315" s="199">
        <f>D314+1</f>
        <v>9</v>
      </c>
      <c r="E315" s="200" t="s">
        <v>44</v>
      </c>
      <c r="F315" s="200"/>
      <c r="G315" s="200" t="e">
        <f t="shared" ref="G315:G322" si="64">IF($O$305&lt;=600,IF(SMALL($A$315:$A$322,1)&lt;2000,1,2),IF(AND($M$305&lt;=$M$304,$O$304&lt;=$O$305),1,2))</f>
        <v>#REF!</v>
      </c>
      <c r="H315" s="9">
        <v>0</v>
      </c>
      <c r="I315" s="9">
        <v>7.5</v>
      </c>
      <c r="J315" s="9">
        <v>0</v>
      </c>
      <c r="K315" s="9">
        <v>15</v>
      </c>
      <c r="L315" s="9">
        <v>200</v>
      </c>
      <c r="M315" s="9">
        <v>200</v>
      </c>
      <c r="N315" s="201"/>
      <c r="O315" s="201">
        <v>90</v>
      </c>
      <c r="P315" s="176"/>
      <c r="Q315" s="197" t="e">
        <f t="shared" si="59"/>
        <v>#REF!</v>
      </c>
      <c r="R315" s="198" t="e">
        <f t="shared" si="60"/>
        <v>#REF!</v>
      </c>
      <c r="X315" s="140"/>
    </row>
    <row r="316" spans="1:24">
      <c r="A316" s="140" t="e">
        <f t="shared" si="57"/>
        <v>#REF!</v>
      </c>
      <c r="B316" s="140" t="e">
        <f t="shared" si="61"/>
        <v>#REF!</v>
      </c>
      <c r="C316" s="140" t="e">
        <f t="shared" si="62"/>
        <v>#REF!</v>
      </c>
      <c r="D316" s="199">
        <f t="shared" si="63"/>
        <v>10</v>
      </c>
      <c r="E316" s="200" t="s">
        <v>44</v>
      </c>
      <c r="F316" s="200"/>
      <c r="G316" s="200" t="e">
        <f t="shared" si="64"/>
        <v>#REF!</v>
      </c>
      <c r="H316" s="9">
        <v>0</v>
      </c>
      <c r="I316" s="9">
        <v>6</v>
      </c>
      <c r="J316" s="9">
        <v>0</v>
      </c>
      <c r="K316" s="9">
        <v>12</v>
      </c>
      <c r="L316" s="9">
        <v>200</v>
      </c>
      <c r="M316" s="9">
        <v>250</v>
      </c>
      <c r="N316" s="201"/>
      <c r="O316" s="201">
        <v>90</v>
      </c>
      <c r="P316" s="176"/>
      <c r="Q316" s="197" t="e">
        <f t="shared" si="59"/>
        <v>#REF!</v>
      </c>
      <c r="R316" s="198" t="e">
        <f t="shared" si="60"/>
        <v>#REF!</v>
      </c>
      <c r="X316" s="140"/>
    </row>
    <row r="317" spans="1:24">
      <c r="A317" s="140" t="e">
        <f t="shared" si="57"/>
        <v>#REF!</v>
      </c>
      <c r="B317" s="140" t="e">
        <f t="shared" si="61"/>
        <v>#REF!</v>
      </c>
      <c r="C317" s="140" t="e">
        <f t="shared" si="62"/>
        <v>#REF!</v>
      </c>
      <c r="D317" s="199">
        <f t="shared" si="63"/>
        <v>11</v>
      </c>
      <c r="E317" s="200" t="s">
        <v>44</v>
      </c>
      <c r="F317" s="200"/>
      <c r="G317" s="200" t="e">
        <f t="shared" si="64"/>
        <v>#REF!</v>
      </c>
      <c r="H317" s="9">
        <v>0</v>
      </c>
      <c r="I317" s="9">
        <v>5</v>
      </c>
      <c r="J317" s="9">
        <v>0</v>
      </c>
      <c r="K317" s="9">
        <v>10</v>
      </c>
      <c r="L317" s="9">
        <v>250</v>
      </c>
      <c r="M317" s="9">
        <v>300</v>
      </c>
      <c r="N317" s="201"/>
      <c r="O317" s="201">
        <v>90</v>
      </c>
      <c r="P317" s="176"/>
      <c r="Q317" s="197" t="e">
        <f t="shared" si="59"/>
        <v>#REF!</v>
      </c>
      <c r="R317" s="198" t="e">
        <f t="shared" si="60"/>
        <v>#REF!</v>
      </c>
      <c r="X317" s="140"/>
    </row>
    <row r="318" spans="1:24">
      <c r="A318" s="140" t="e">
        <f t="shared" si="57"/>
        <v>#REF!</v>
      </c>
      <c r="B318" s="140" t="e">
        <f t="shared" si="61"/>
        <v>#REF!</v>
      </c>
      <c r="C318" s="140" t="e">
        <f t="shared" si="62"/>
        <v>#REF!</v>
      </c>
      <c r="D318" s="199">
        <f t="shared" si="63"/>
        <v>12</v>
      </c>
      <c r="E318" s="200" t="s">
        <v>44</v>
      </c>
      <c r="F318" s="200"/>
      <c r="G318" s="200" t="e">
        <f t="shared" si="64"/>
        <v>#REF!</v>
      </c>
      <c r="H318" s="9">
        <v>0</v>
      </c>
      <c r="I318" s="9">
        <v>4</v>
      </c>
      <c r="J318" s="9">
        <v>0</v>
      </c>
      <c r="K318" s="9">
        <v>8.5</v>
      </c>
      <c r="L318" s="9">
        <v>300</v>
      </c>
      <c r="M318" s="9">
        <v>350</v>
      </c>
      <c r="N318" s="201"/>
      <c r="O318" s="201">
        <v>90</v>
      </c>
      <c r="P318" s="176"/>
      <c r="Q318" s="197" t="e">
        <f t="shared" si="59"/>
        <v>#REF!</v>
      </c>
      <c r="R318" s="198" t="e">
        <f t="shared" si="60"/>
        <v>#REF!</v>
      </c>
      <c r="X318" s="140"/>
    </row>
    <row r="319" spans="1:24">
      <c r="A319" s="140" t="e">
        <f t="shared" si="57"/>
        <v>#REF!</v>
      </c>
      <c r="B319" s="140" t="e">
        <f t="shared" si="61"/>
        <v>#REF!</v>
      </c>
      <c r="C319" s="140" t="e">
        <f t="shared" si="62"/>
        <v>#REF!</v>
      </c>
      <c r="D319" s="199">
        <f t="shared" si="63"/>
        <v>13</v>
      </c>
      <c r="E319" s="200" t="s">
        <v>44</v>
      </c>
      <c r="F319" s="200"/>
      <c r="G319" s="200" t="e">
        <f t="shared" si="64"/>
        <v>#REF!</v>
      </c>
      <c r="H319" s="9">
        <v>0</v>
      </c>
      <c r="I319" s="9">
        <v>3.5</v>
      </c>
      <c r="J319" s="9">
        <v>0</v>
      </c>
      <c r="K319" s="9">
        <v>7</v>
      </c>
      <c r="L319" s="9">
        <v>350</v>
      </c>
      <c r="M319" s="9">
        <v>400</v>
      </c>
      <c r="N319" s="201"/>
      <c r="O319" s="201">
        <v>90</v>
      </c>
      <c r="P319" s="176"/>
      <c r="Q319" s="197" t="e">
        <f t="shared" si="59"/>
        <v>#REF!</v>
      </c>
      <c r="R319" s="198" t="e">
        <f t="shared" si="60"/>
        <v>#REF!</v>
      </c>
      <c r="X319" s="140"/>
    </row>
    <row r="320" spans="1:24">
      <c r="A320" s="140" t="e">
        <f t="shared" si="57"/>
        <v>#REF!</v>
      </c>
      <c r="B320" s="140" t="e">
        <f t="shared" si="61"/>
        <v>#REF!</v>
      </c>
      <c r="C320" s="140" t="e">
        <f t="shared" si="62"/>
        <v>#REF!</v>
      </c>
      <c r="D320" s="199">
        <f t="shared" si="63"/>
        <v>14</v>
      </c>
      <c r="E320" s="200" t="s">
        <v>44</v>
      </c>
      <c r="F320" s="200"/>
      <c r="G320" s="200" t="e">
        <f t="shared" si="64"/>
        <v>#REF!</v>
      </c>
      <c r="H320" s="9">
        <v>0</v>
      </c>
      <c r="I320" s="9">
        <v>3.5</v>
      </c>
      <c r="J320" s="9">
        <v>0</v>
      </c>
      <c r="K320" s="9">
        <v>6.5</v>
      </c>
      <c r="L320" s="9">
        <v>400</v>
      </c>
      <c r="M320" s="9">
        <v>450</v>
      </c>
      <c r="N320" s="201"/>
      <c r="O320" s="201">
        <v>90</v>
      </c>
      <c r="P320" s="176"/>
      <c r="Q320" s="197" t="e">
        <f t="shared" si="59"/>
        <v>#REF!</v>
      </c>
      <c r="R320" s="198" t="e">
        <f t="shared" si="60"/>
        <v>#REF!</v>
      </c>
      <c r="X320" s="140"/>
    </row>
    <row r="321" spans="1:24">
      <c r="A321" s="140" t="e">
        <f t="shared" si="57"/>
        <v>#REF!</v>
      </c>
      <c r="B321" s="140" t="e">
        <f t="shared" si="61"/>
        <v>#REF!</v>
      </c>
      <c r="C321" s="140" t="e">
        <f t="shared" si="62"/>
        <v>#REF!</v>
      </c>
      <c r="D321" s="199">
        <f t="shared" si="63"/>
        <v>15</v>
      </c>
      <c r="E321" s="200" t="s">
        <v>44</v>
      </c>
      <c r="F321" s="200"/>
      <c r="G321" s="200" t="e">
        <f t="shared" si="64"/>
        <v>#REF!</v>
      </c>
      <c r="H321" s="9">
        <v>0</v>
      </c>
      <c r="I321" s="9">
        <v>3</v>
      </c>
      <c r="J321" s="9">
        <v>0</v>
      </c>
      <c r="K321" s="9">
        <v>6</v>
      </c>
      <c r="L321" s="9">
        <v>450</v>
      </c>
      <c r="M321" s="9">
        <v>500</v>
      </c>
      <c r="N321" s="201"/>
      <c r="O321" s="201">
        <v>90</v>
      </c>
      <c r="P321" s="176"/>
      <c r="Q321" s="197" t="e">
        <f t="shared" si="59"/>
        <v>#REF!</v>
      </c>
      <c r="R321" s="198" t="e">
        <f t="shared" si="60"/>
        <v>#REF!</v>
      </c>
      <c r="X321" s="140"/>
    </row>
    <row r="322" spans="1:24">
      <c r="A322" s="140" t="e">
        <f t="shared" si="57"/>
        <v>#REF!</v>
      </c>
      <c r="B322" s="140" t="e">
        <f t="shared" si="61"/>
        <v>#REF!</v>
      </c>
      <c r="C322" s="140" t="e">
        <f t="shared" si="62"/>
        <v>#REF!</v>
      </c>
      <c r="D322" s="199">
        <f t="shared" si="63"/>
        <v>16</v>
      </c>
      <c r="E322" s="200" t="s">
        <v>342</v>
      </c>
      <c r="F322" s="200"/>
      <c r="G322" s="200" t="e">
        <f t="shared" si="64"/>
        <v>#REF!</v>
      </c>
      <c r="H322" s="9">
        <v>0</v>
      </c>
      <c r="I322" s="9">
        <v>1000</v>
      </c>
      <c r="J322" s="9">
        <v>0</v>
      </c>
      <c r="K322" s="9">
        <v>1000</v>
      </c>
      <c r="L322" s="9">
        <v>0</v>
      </c>
      <c r="M322" s="9">
        <v>2000</v>
      </c>
      <c r="N322" s="201"/>
      <c r="O322" s="201">
        <v>90</v>
      </c>
      <c r="P322" s="176"/>
      <c r="Q322" s="197" t="e">
        <f t="shared" si="59"/>
        <v>#REF!</v>
      </c>
      <c r="R322" s="198" t="e">
        <f t="shared" si="60"/>
        <v>#REF!</v>
      </c>
      <c r="X322" s="140"/>
    </row>
    <row r="323" spans="1:24">
      <c r="A323" s="140" t="e">
        <f t="shared" si="57"/>
        <v>#REF!</v>
      </c>
      <c r="B323" s="140" t="e">
        <f t="shared" si="61"/>
        <v>#REF!</v>
      </c>
      <c r="C323" s="140" t="e">
        <f t="shared" si="62"/>
        <v>#REF!</v>
      </c>
      <c r="D323" s="142">
        <f>D322+1</f>
        <v>17</v>
      </c>
      <c r="E323" s="143" t="s">
        <v>44</v>
      </c>
      <c r="F323" s="143"/>
      <c r="G323" s="143" t="e">
        <f t="shared" ref="G323:G330" si="65">IF($O$305&lt;=600,IF(SMALL($A$323:$A$330,1)&lt;2000,1,2),IF(AND($M$305&lt;=$M$304,$O$305&lt;=$O$304),1,2))</f>
        <v>#REF!</v>
      </c>
      <c r="H323" s="9">
        <v>0</v>
      </c>
      <c r="I323" s="9">
        <v>9</v>
      </c>
      <c r="J323" s="9">
        <v>0</v>
      </c>
      <c r="K323" s="9">
        <v>15</v>
      </c>
      <c r="L323" s="9">
        <v>200</v>
      </c>
      <c r="M323" s="9">
        <v>200</v>
      </c>
      <c r="N323" s="165"/>
      <c r="O323" s="165">
        <v>75</v>
      </c>
      <c r="Q323" s="197" t="e">
        <f t="shared" si="59"/>
        <v>#REF!</v>
      </c>
      <c r="R323" s="198" t="e">
        <f t="shared" si="60"/>
        <v>#REF!</v>
      </c>
      <c r="X323" s="140"/>
    </row>
    <row r="324" spans="1:24">
      <c r="A324" s="140" t="e">
        <f t="shared" si="57"/>
        <v>#REF!</v>
      </c>
      <c r="B324" s="140" t="e">
        <f t="shared" si="61"/>
        <v>#REF!</v>
      </c>
      <c r="C324" s="140" t="e">
        <f t="shared" si="62"/>
        <v>#REF!</v>
      </c>
      <c r="D324" s="142">
        <f t="shared" si="63"/>
        <v>18</v>
      </c>
      <c r="E324" s="143" t="s">
        <v>44</v>
      </c>
      <c r="F324" s="143"/>
      <c r="G324" s="143" t="e">
        <f t="shared" si="65"/>
        <v>#REF!</v>
      </c>
      <c r="H324" s="9">
        <v>0</v>
      </c>
      <c r="I324" s="9">
        <v>7</v>
      </c>
      <c r="J324" s="9">
        <v>0</v>
      </c>
      <c r="K324" s="9">
        <v>15</v>
      </c>
      <c r="L324" s="9">
        <v>200</v>
      </c>
      <c r="M324" s="9">
        <v>250</v>
      </c>
      <c r="N324" s="165"/>
      <c r="O324" s="165">
        <v>75</v>
      </c>
      <c r="Q324" s="197" t="e">
        <f t="shared" si="59"/>
        <v>#REF!</v>
      </c>
      <c r="R324" s="198" t="e">
        <f t="shared" si="60"/>
        <v>#REF!</v>
      </c>
      <c r="X324" s="140"/>
    </row>
    <row r="325" spans="1:24">
      <c r="A325" s="140" t="e">
        <f t="shared" si="57"/>
        <v>#REF!</v>
      </c>
      <c r="B325" s="140" t="e">
        <f t="shared" si="61"/>
        <v>#REF!</v>
      </c>
      <c r="C325" s="140" t="e">
        <f t="shared" si="62"/>
        <v>#REF!</v>
      </c>
      <c r="D325" s="142">
        <f t="shared" si="63"/>
        <v>19</v>
      </c>
      <c r="E325" s="143" t="s">
        <v>44</v>
      </c>
      <c r="F325" s="143"/>
      <c r="G325" s="143" t="e">
        <f t="shared" si="65"/>
        <v>#REF!</v>
      </c>
      <c r="H325" s="9">
        <v>0</v>
      </c>
      <c r="I325" s="9">
        <v>6</v>
      </c>
      <c r="J325" s="9">
        <v>0</v>
      </c>
      <c r="K325" s="9">
        <v>12</v>
      </c>
      <c r="L325" s="9">
        <v>250</v>
      </c>
      <c r="M325" s="9">
        <v>300</v>
      </c>
      <c r="N325" s="165"/>
      <c r="O325" s="165">
        <v>75</v>
      </c>
      <c r="Q325" s="197" t="e">
        <f t="shared" si="59"/>
        <v>#REF!</v>
      </c>
      <c r="R325" s="198" t="e">
        <f t="shared" si="60"/>
        <v>#REF!</v>
      </c>
      <c r="X325" s="140"/>
    </row>
    <row r="326" spans="1:24">
      <c r="A326" s="140" t="e">
        <f t="shared" si="57"/>
        <v>#REF!</v>
      </c>
      <c r="B326" s="140" t="e">
        <f t="shared" si="61"/>
        <v>#REF!</v>
      </c>
      <c r="C326" s="140" t="e">
        <f t="shared" si="62"/>
        <v>#REF!</v>
      </c>
      <c r="D326" s="142">
        <f t="shared" si="63"/>
        <v>20</v>
      </c>
      <c r="E326" s="143" t="s">
        <v>44</v>
      </c>
      <c r="F326" s="143"/>
      <c r="G326" s="143" t="e">
        <f t="shared" si="65"/>
        <v>#REF!</v>
      </c>
      <c r="H326" s="9">
        <v>0</v>
      </c>
      <c r="I326" s="9">
        <v>5</v>
      </c>
      <c r="J326" s="9">
        <v>0</v>
      </c>
      <c r="K326" s="9">
        <v>10</v>
      </c>
      <c r="L326" s="9">
        <v>300</v>
      </c>
      <c r="M326" s="9">
        <v>350</v>
      </c>
      <c r="N326" s="165"/>
      <c r="O326" s="165">
        <v>75</v>
      </c>
      <c r="Q326" s="197" t="e">
        <f t="shared" si="59"/>
        <v>#REF!</v>
      </c>
      <c r="R326" s="198" t="e">
        <f t="shared" si="60"/>
        <v>#REF!</v>
      </c>
      <c r="X326" s="140"/>
    </row>
    <row r="327" spans="1:24">
      <c r="A327" s="140" t="e">
        <f t="shared" si="57"/>
        <v>#REF!</v>
      </c>
      <c r="B327" s="140" t="e">
        <f t="shared" si="61"/>
        <v>#REF!</v>
      </c>
      <c r="C327" s="140" t="e">
        <f t="shared" si="62"/>
        <v>#REF!</v>
      </c>
      <c r="D327" s="142">
        <f t="shared" si="63"/>
        <v>21</v>
      </c>
      <c r="E327" s="143" t="s">
        <v>44</v>
      </c>
      <c r="F327" s="143"/>
      <c r="G327" s="143" t="e">
        <f t="shared" si="65"/>
        <v>#REF!</v>
      </c>
      <c r="H327" s="9">
        <v>0</v>
      </c>
      <c r="I327" s="9">
        <v>4.5</v>
      </c>
      <c r="J327" s="9">
        <v>0</v>
      </c>
      <c r="K327" s="9">
        <v>9</v>
      </c>
      <c r="L327" s="9">
        <v>350</v>
      </c>
      <c r="M327" s="9">
        <v>400</v>
      </c>
      <c r="N327" s="165"/>
      <c r="O327" s="165">
        <v>75</v>
      </c>
      <c r="Q327" s="197" t="e">
        <f t="shared" si="59"/>
        <v>#REF!</v>
      </c>
      <c r="R327" s="198" t="e">
        <f t="shared" si="60"/>
        <v>#REF!</v>
      </c>
      <c r="X327" s="140"/>
    </row>
    <row r="328" spans="1:24">
      <c r="A328" s="140" t="e">
        <f t="shared" si="57"/>
        <v>#REF!</v>
      </c>
      <c r="B328" s="140" t="e">
        <f t="shared" si="61"/>
        <v>#REF!</v>
      </c>
      <c r="C328" s="140" t="e">
        <f t="shared" si="62"/>
        <v>#REF!</v>
      </c>
      <c r="D328" s="142">
        <f t="shared" si="63"/>
        <v>22</v>
      </c>
      <c r="E328" s="143" t="s">
        <v>44</v>
      </c>
      <c r="F328" s="143"/>
      <c r="G328" s="143" t="e">
        <f t="shared" si="65"/>
        <v>#REF!</v>
      </c>
      <c r="H328" s="9">
        <v>0</v>
      </c>
      <c r="I328" s="9">
        <v>4</v>
      </c>
      <c r="J328" s="9">
        <v>0</v>
      </c>
      <c r="K328" s="9">
        <v>8</v>
      </c>
      <c r="L328" s="9">
        <v>400</v>
      </c>
      <c r="M328" s="9">
        <v>450</v>
      </c>
      <c r="N328" s="165"/>
      <c r="O328" s="165">
        <v>75</v>
      </c>
      <c r="Q328" s="197" t="e">
        <f t="shared" si="59"/>
        <v>#REF!</v>
      </c>
      <c r="R328" s="198" t="e">
        <f t="shared" si="60"/>
        <v>#REF!</v>
      </c>
      <c r="X328" s="140"/>
    </row>
    <row r="329" spans="1:24">
      <c r="A329" s="140" t="e">
        <f t="shared" si="57"/>
        <v>#REF!</v>
      </c>
      <c r="B329" s="140" t="e">
        <f t="shared" si="61"/>
        <v>#REF!</v>
      </c>
      <c r="C329" s="140" t="e">
        <f t="shared" si="62"/>
        <v>#REF!</v>
      </c>
      <c r="D329" s="142">
        <f t="shared" si="63"/>
        <v>23</v>
      </c>
      <c r="E329" s="143" t="s">
        <v>44</v>
      </c>
      <c r="F329" s="143"/>
      <c r="G329" s="143" t="e">
        <f t="shared" si="65"/>
        <v>#REF!</v>
      </c>
      <c r="H329" s="9">
        <v>0</v>
      </c>
      <c r="I329" s="9">
        <v>3.5</v>
      </c>
      <c r="J329" s="9">
        <v>0</v>
      </c>
      <c r="K329" s="9">
        <v>7</v>
      </c>
      <c r="L329" s="9">
        <v>450</v>
      </c>
      <c r="M329" s="9">
        <v>500</v>
      </c>
      <c r="N329" s="165"/>
      <c r="O329" s="165">
        <v>75</v>
      </c>
      <c r="Q329" s="197" t="e">
        <f t="shared" si="59"/>
        <v>#REF!</v>
      </c>
      <c r="R329" s="198" t="e">
        <f t="shared" si="60"/>
        <v>#REF!</v>
      </c>
      <c r="X329" s="140"/>
    </row>
    <row r="330" spans="1:24">
      <c r="A330" s="140" t="e">
        <f t="shared" si="57"/>
        <v>#REF!</v>
      </c>
      <c r="B330" s="140" t="e">
        <f t="shared" si="61"/>
        <v>#REF!</v>
      </c>
      <c r="C330" s="140" t="e">
        <f t="shared" si="62"/>
        <v>#REF!</v>
      </c>
      <c r="D330" s="142">
        <f t="shared" si="63"/>
        <v>24</v>
      </c>
      <c r="E330" s="143" t="s">
        <v>342</v>
      </c>
      <c r="F330" s="143"/>
      <c r="G330" s="143" t="e">
        <f t="shared" si="65"/>
        <v>#REF!</v>
      </c>
      <c r="H330" s="9">
        <v>0</v>
      </c>
      <c r="I330" s="9">
        <v>1000</v>
      </c>
      <c r="J330" s="9">
        <v>0</v>
      </c>
      <c r="K330" s="9">
        <v>1000</v>
      </c>
      <c r="L330" s="9">
        <v>0</v>
      </c>
      <c r="M330" s="9">
        <v>2000</v>
      </c>
      <c r="N330" s="165"/>
      <c r="O330" s="165">
        <v>75</v>
      </c>
      <c r="Q330" s="197" t="e">
        <f t="shared" si="59"/>
        <v>#REF!</v>
      </c>
      <c r="R330" s="198" t="e">
        <f t="shared" si="60"/>
        <v>#REF!</v>
      </c>
    </row>
    <row r="331" spans="1:24">
      <c r="A331" s="157"/>
      <c r="B331" s="157"/>
      <c r="C331" s="157"/>
      <c r="D331" s="189"/>
      <c r="E331" s="190"/>
      <c r="F331" s="190"/>
      <c r="G331" s="191"/>
      <c r="H331" s="8"/>
      <c r="I331" s="8"/>
      <c r="J331" s="8"/>
      <c r="K331" s="8"/>
      <c r="L331" s="8"/>
      <c r="M331" s="8"/>
      <c r="N331" s="192"/>
      <c r="O331" s="161"/>
      <c r="P331" s="8"/>
      <c r="Q331" s="162"/>
      <c r="R331" s="157"/>
    </row>
    <row r="332" spans="1:24">
      <c r="M332" s="173">
        <v>320</v>
      </c>
      <c r="O332" s="173">
        <v>610</v>
      </c>
    </row>
    <row r="333" spans="1:24">
      <c r="A333" s="140"/>
      <c r="D333" s="128"/>
      <c r="E333" s="129" t="s">
        <v>507</v>
      </c>
      <c r="F333" s="128"/>
      <c r="G333" s="149" t="s">
        <v>191</v>
      </c>
      <c r="H333" s="131" t="s">
        <v>85</v>
      </c>
      <c r="I333" s="132" t="e">
        <f>DUOFВес</f>
        <v>#REF!</v>
      </c>
      <c r="J333" s="132"/>
      <c r="K333" s="132"/>
      <c r="L333" s="131" t="s">
        <v>141</v>
      </c>
      <c r="M333" s="132" t="e">
        <f>DUOFВысота</f>
        <v>#REF!</v>
      </c>
      <c r="N333" s="131" t="s">
        <v>218</v>
      </c>
      <c r="O333" s="132" t="e">
        <f>DUOFШирина</f>
        <v>#REF!</v>
      </c>
      <c r="Q333" s="131"/>
      <c r="R333" s="193"/>
    </row>
    <row r="334" spans="1:24">
      <c r="A334" s="140">
        <v>1</v>
      </c>
      <c r="B334" s="140">
        <v>2</v>
      </c>
      <c r="C334" s="140"/>
      <c r="D334" s="137"/>
      <c r="E334" s="137" t="s">
        <v>1</v>
      </c>
      <c r="F334" s="137"/>
      <c r="G334" s="137"/>
      <c r="H334" s="138" t="s">
        <v>86</v>
      </c>
      <c r="I334" s="138" t="s">
        <v>87</v>
      </c>
      <c r="J334" s="138"/>
      <c r="K334" s="138"/>
      <c r="L334" s="138" t="s">
        <v>86</v>
      </c>
      <c r="M334" s="138" t="s">
        <v>87</v>
      </c>
      <c r="N334" s="138" t="s">
        <v>88</v>
      </c>
      <c r="O334" s="138" t="s">
        <v>89</v>
      </c>
      <c r="P334" s="138" t="s">
        <v>122</v>
      </c>
      <c r="Q334" s="138" t="s">
        <v>85</v>
      </c>
      <c r="R334" s="138" t="s">
        <v>141</v>
      </c>
    </row>
    <row r="335" spans="1:24">
      <c r="A335" s="140" t="e">
        <f t="shared" ref="A335:A370" si="66">IF(AND($R335&gt;=$L335,$R335&lt;=$M335,$Q335&gt;=$H335,$Q335&lt;=$I335),IF(M335&lt;2000,D335,D335+2000),"-")</f>
        <v>#REF!</v>
      </c>
      <c r="B335" s="140" t="e">
        <f t="shared" ref="B335:B370" si="67">IF(AND($R335&gt;=$L335,$R335&lt;=$M335,$Q335&gt;=$J335,$Q335&lt;=$K335),IF(M335&lt;2000,D335,D335+2000),IF(M335&lt;2000,IF(AND($R335&gt;=$L335,$R335&lt;=$M335,$Q335&gt;=$H335,$Q335&lt;=$K335),A335,"-")))</f>
        <v>#REF!</v>
      </c>
      <c r="C335" s="140" t="e">
        <f t="shared" ref="C335:C370" si="68">IF(G335=1,A335,B335)</f>
        <v>#REF!</v>
      </c>
      <c r="D335" s="194">
        <v>1</v>
      </c>
      <c r="E335" s="195" t="s">
        <v>508</v>
      </c>
      <c r="F335" s="195"/>
      <c r="G335" s="195" t="e">
        <f t="shared" ref="G335:G346" si="69">IF($O$305&lt;=600,IF(SMALL($A$307:$A$314,1)&lt;2000,1,2),IF(AND($M$305&lt;=$M$304,$O$304&lt;=$O$305),1,2))</f>
        <v>#REF!</v>
      </c>
      <c r="H335" s="9">
        <v>0</v>
      </c>
      <c r="I335" s="9">
        <v>9.5</v>
      </c>
      <c r="J335" s="9">
        <v>0</v>
      </c>
      <c r="K335" s="9">
        <v>15</v>
      </c>
      <c r="L335" s="9">
        <v>200</v>
      </c>
      <c r="M335" s="9">
        <v>200</v>
      </c>
      <c r="N335" s="196"/>
      <c r="O335" s="196">
        <v>110</v>
      </c>
      <c r="P335" s="170"/>
      <c r="Q335" s="197" t="e">
        <f t="shared" ref="Q335:Q370" si="70">DUOFВес</f>
        <v>#REF!</v>
      </c>
      <c r="R335" s="198" t="e">
        <f t="shared" ref="R335:R370" si="71">DUOВысота</f>
        <v>#REF!</v>
      </c>
    </row>
    <row r="336" spans="1:24">
      <c r="A336" s="140" t="e">
        <f t="shared" si="66"/>
        <v>#REF!</v>
      </c>
      <c r="B336" s="140" t="e">
        <f t="shared" si="67"/>
        <v>#REF!</v>
      </c>
      <c r="C336" s="140" t="e">
        <f t="shared" si="68"/>
        <v>#REF!</v>
      </c>
      <c r="D336" s="194">
        <f>D335+1</f>
        <v>2</v>
      </c>
      <c r="E336" s="195" t="s">
        <v>508</v>
      </c>
      <c r="F336" s="195"/>
      <c r="G336" s="195" t="e">
        <f t="shared" si="69"/>
        <v>#REF!</v>
      </c>
      <c r="H336" s="9">
        <v>0</v>
      </c>
      <c r="I336" s="9">
        <v>7.5</v>
      </c>
      <c r="J336" s="9">
        <v>0</v>
      </c>
      <c r="K336" s="9">
        <v>15</v>
      </c>
      <c r="L336" s="9">
        <v>200</v>
      </c>
      <c r="M336" s="9">
        <v>250</v>
      </c>
      <c r="N336" s="196"/>
      <c r="O336" s="196">
        <v>110</v>
      </c>
      <c r="P336" s="170"/>
      <c r="Q336" s="197" t="e">
        <f t="shared" si="70"/>
        <v>#REF!</v>
      </c>
      <c r="R336" s="198" t="e">
        <f t="shared" si="71"/>
        <v>#REF!</v>
      </c>
    </row>
    <row r="337" spans="1:18">
      <c r="A337" s="140" t="e">
        <f t="shared" si="66"/>
        <v>#REF!</v>
      </c>
      <c r="B337" s="140" t="e">
        <f t="shared" si="67"/>
        <v>#REF!</v>
      </c>
      <c r="C337" s="140" t="e">
        <f t="shared" si="68"/>
        <v>#REF!</v>
      </c>
      <c r="D337" s="194">
        <f t="shared" ref="D337:D370" si="72">D336+1</f>
        <v>3</v>
      </c>
      <c r="E337" s="195" t="s">
        <v>508</v>
      </c>
      <c r="F337" s="195"/>
      <c r="G337" s="195" t="e">
        <f t="shared" si="69"/>
        <v>#REF!</v>
      </c>
      <c r="H337" s="9">
        <v>0</v>
      </c>
      <c r="I337" s="9">
        <v>6.5</v>
      </c>
      <c r="J337" s="9">
        <v>0</v>
      </c>
      <c r="K337" s="9">
        <v>12.5</v>
      </c>
      <c r="L337" s="9">
        <v>250</v>
      </c>
      <c r="M337" s="9">
        <v>300</v>
      </c>
      <c r="N337" s="196"/>
      <c r="O337" s="196">
        <v>110</v>
      </c>
      <c r="P337" s="170"/>
      <c r="Q337" s="197" t="e">
        <f t="shared" si="70"/>
        <v>#REF!</v>
      </c>
      <c r="R337" s="198" t="e">
        <f t="shared" si="71"/>
        <v>#REF!</v>
      </c>
    </row>
    <row r="338" spans="1:18">
      <c r="A338" s="140" t="e">
        <f t="shared" si="66"/>
        <v>#REF!</v>
      </c>
      <c r="B338" s="140" t="e">
        <f t="shared" si="67"/>
        <v>#REF!</v>
      </c>
      <c r="C338" s="140" t="e">
        <f t="shared" si="68"/>
        <v>#REF!</v>
      </c>
      <c r="D338" s="194">
        <f t="shared" si="72"/>
        <v>4</v>
      </c>
      <c r="E338" s="195" t="s">
        <v>508</v>
      </c>
      <c r="F338" s="195"/>
      <c r="G338" s="195" t="e">
        <f t="shared" si="69"/>
        <v>#REF!</v>
      </c>
      <c r="H338" s="9">
        <v>0</v>
      </c>
      <c r="I338" s="9">
        <v>5.5</v>
      </c>
      <c r="J338" s="9">
        <v>0</v>
      </c>
      <c r="K338" s="9">
        <v>11</v>
      </c>
      <c r="L338" s="9">
        <v>300</v>
      </c>
      <c r="M338" s="9">
        <v>350</v>
      </c>
      <c r="N338" s="196"/>
      <c r="O338" s="196">
        <v>110</v>
      </c>
      <c r="P338" s="170"/>
      <c r="Q338" s="197" t="e">
        <f t="shared" si="70"/>
        <v>#REF!</v>
      </c>
      <c r="R338" s="198" t="e">
        <f t="shared" si="71"/>
        <v>#REF!</v>
      </c>
    </row>
    <row r="339" spans="1:18">
      <c r="A339" s="140" t="e">
        <f t="shared" si="66"/>
        <v>#REF!</v>
      </c>
      <c r="B339" s="140" t="e">
        <f t="shared" si="67"/>
        <v>#REF!</v>
      </c>
      <c r="C339" s="140" t="e">
        <f t="shared" si="68"/>
        <v>#REF!</v>
      </c>
      <c r="D339" s="194">
        <f t="shared" si="72"/>
        <v>5</v>
      </c>
      <c r="E339" s="195" t="s">
        <v>508</v>
      </c>
      <c r="F339" s="195"/>
      <c r="G339" s="195" t="e">
        <f t="shared" si="69"/>
        <v>#REF!</v>
      </c>
      <c r="H339" s="9">
        <v>0</v>
      </c>
      <c r="I339" s="9">
        <v>4.5</v>
      </c>
      <c r="J339" s="9">
        <v>0</v>
      </c>
      <c r="K339" s="9">
        <v>9.5</v>
      </c>
      <c r="L339" s="9">
        <v>350</v>
      </c>
      <c r="M339" s="9">
        <v>400</v>
      </c>
      <c r="N339" s="196"/>
      <c r="O339" s="196">
        <v>110</v>
      </c>
      <c r="P339" s="170"/>
      <c r="Q339" s="197" t="e">
        <f t="shared" si="70"/>
        <v>#REF!</v>
      </c>
      <c r="R339" s="198" t="e">
        <f t="shared" si="71"/>
        <v>#REF!</v>
      </c>
    </row>
    <row r="340" spans="1:18">
      <c r="A340" s="140" t="e">
        <f t="shared" si="66"/>
        <v>#REF!</v>
      </c>
      <c r="B340" s="140" t="e">
        <f t="shared" si="67"/>
        <v>#REF!</v>
      </c>
      <c r="C340" s="140" t="e">
        <f t="shared" si="68"/>
        <v>#REF!</v>
      </c>
      <c r="D340" s="194">
        <f t="shared" si="72"/>
        <v>6</v>
      </c>
      <c r="E340" s="195" t="s">
        <v>508</v>
      </c>
      <c r="F340" s="195"/>
      <c r="G340" s="195" t="e">
        <f t="shared" si="69"/>
        <v>#REF!</v>
      </c>
      <c r="H340" s="9">
        <v>0</v>
      </c>
      <c r="I340" s="9">
        <v>4</v>
      </c>
      <c r="J340" s="9">
        <v>0</v>
      </c>
      <c r="K340" s="9">
        <v>8.5</v>
      </c>
      <c r="L340" s="9">
        <v>400</v>
      </c>
      <c r="M340" s="9">
        <v>450</v>
      </c>
      <c r="N340" s="196"/>
      <c r="O340" s="196">
        <v>110</v>
      </c>
      <c r="P340" s="170"/>
      <c r="Q340" s="197" t="e">
        <f t="shared" si="70"/>
        <v>#REF!</v>
      </c>
      <c r="R340" s="198" t="e">
        <f t="shared" si="71"/>
        <v>#REF!</v>
      </c>
    </row>
    <row r="341" spans="1:18">
      <c r="A341" s="140" t="e">
        <f t="shared" si="66"/>
        <v>#REF!</v>
      </c>
      <c r="B341" s="140" t="e">
        <f t="shared" si="67"/>
        <v>#REF!</v>
      </c>
      <c r="C341" s="140" t="e">
        <f t="shared" si="68"/>
        <v>#REF!</v>
      </c>
      <c r="D341" s="194">
        <f t="shared" si="72"/>
        <v>7</v>
      </c>
      <c r="E341" s="195" t="s">
        <v>508</v>
      </c>
      <c r="F341" s="195"/>
      <c r="G341" s="195" t="e">
        <f t="shared" si="69"/>
        <v>#REF!</v>
      </c>
      <c r="H341" s="9">
        <v>0</v>
      </c>
      <c r="I341" s="9">
        <v>4</v>
      </c>
      <c r="J341" s="9">
        <v>0</v>
      </c>
      <c r="K341" s="9">
        <v>7.5</v>
      </c>
      <c r="L341" s="9">
        <v>450</v>
      </c>
      <c r="M341" s="9">
        <v>500</v>
      </c>
      <c r="N341" s="196"/>
      <c r="O341" s="196">
        <v>110</v>
      </c>
      <c r="P341" s="170"/>
      <c r="Q341" s="197" t="e">
        <f t="shared" si="70"/>
        <v>#REF!</v>
      </c>
      <c r="R341" s="198" t="e">
        <f t="shared" si="71"/>
        <v>#REF!</v>
      </c>
    </row>
    <row r="342" spans="1:18">
      <c r="A342" s="140" t="e">
        <f>IF(AND($R342&gt;=$L342,$R342&lt;=$M342,$Q342&gt;=$H342,$Q342&lt;=$I342),IF(M342&lt;2000,D342,D342+2000),"-")</f>
        <v>#REF!</v>
      </c>
      <c r="B342" s="140" t="e">
        <f>IF(AND($R342&gt;=$L342,$R342&lt;=$M342,$Q342&gt;=$J342,$Q342&lt;=$K342),IF(M342&lt;2000,D342,D342+2000),IF(M342&lt;2000,IF(AND($R342&gt;=$L342,$R342&lt;=$M342,$Q342&gt;=$H342,$Q342&lt;=$K342),A342,"-")))</f>
        <v>#REF!</v>
      </c>
      <c r="C342" s="140" t="e">
        <f>IF(G342=1,A342,B342)</f>
        <v>#REF!</v>
      </c>
      <c r="D342" s="194">
        <f t="shared" si="72"/>
        <v>8</v>
      </c>
      <c r="E342" s="195" t="s">
        <v>508</v>
      </c>
      <c r="F342" s="195"/>
      <c r="G342" s="195" t="e">
        <f t="shared" si="69"/>
        <v>#REF!</v>
      </c>
      <c r="H342" s="9">
        <v>0</v>
      </c>
      <c r="I342" s="9">
        <v>3.5</v>
      </c>
      <c r="J342" s="9">
        <v>0</v>
      </c>
      <c r="K342" s="9">
        <v>7</v>
      </c>
      <c r="L342" s="9">
        <v>500</v>
      </c>
      <c r="M342" s="9">
        <v>550</v>
      </c>
      <c r="N342" s="196"/>
      <c r="O342" s="196">
        <v>110</v>
      </c>
      <c r="P342" s="170"/>
      <c r="Q342" s="197" t="e">
        <f t="shared" si="70"/>
        <v>#REF!</v>
      </c>
      <c r="R342" s="198" t="e">
        <f t="shared" si="71"/>
        <v>#REF!</v>
      </c>
    </row>
    <row r="343" spans="1:18">
      <c r="A343" s="140" t="e">
        <f>IF(AND($R343&gt;=$L343,$R343&lt;=$M343,$Q343&gt;=$H343,$Q343&lt;=$I343),IF(M343&lt;2000,D343,D343+2000),"-")</f>
        <v>#REF!</v>
      </c>
      <c r="B343" s="140" t="e">
        <f>IF(AND($R343&gt;=$L343,$R343&lt;=$M343,$Q343&gt;=$J343,$Q343&lt;=$K343),IF(M343&lt;2000,D343,D343+2000),IF(M343&lt;2000,IF(AND($R343&gt;=$L343,$R343&lt;=$M343,$Q343&gt;=$H343,$Q343&lt;=$K343),A343,"-")))</f>
        <v>#REF!</v>
      </c>
      <c r="C343" s="140" t="e">
        <f>IF(G343=1,A343,B343)</f>
        <v>#REF!</v>
      </c>
      <c r="D343" s="194">
        <f t="shared" si="72"/>
        <v>9</v>
      </c>
      <c r="E343" s="195" t="s">
        <v>508</v>
      </c>
      <c r="F343" s="195"/>
      <c r="G343" s="195" t="e">
        <f t="shared" si="69"/>
        <v>#REF!</v>
      </c>
      <c r="H343" s="9">
        <v>0</v>
      </c>
      <c r="I343" s="9">
        <v>3</v>
      </c>
      <c r="J343" s="9">
        <v>0</v>
      </c>
      <c r="K343" s="9">
        <v>6</v>
      </c>
      <c r="L343" s="9">
        <v>550</v>
      </c>
      <c r="M343" s="9">
        <v>600</v>
      </c>
      <c r="N343" s="196"/>
      <c r="O343" s="196">
        <v>110</v>
      </c>
      <c r="P343" s="170"/>
      <c r="Q343" s="197" t="e">
        <f t="shared" si="70"/>
        <v>#REF!</v>
      </c>
      <c r="R343" s="198" t="e">
        <f t="shared" si="71"/>
        <v>#REF!</v>
      </c>
    </row>
    <row r="344" spans="1:18">
      <c r="A344" s="140" t="e">
        <f>IF(AND($R344&gt;=$L344,$R344&lt;=$M344,$Q344&gt;=$H344,$Q344&lt;=$I344),IF(M344&lt;2000,D344,D344+2000),"-")</f>
        <v>#REF!</v>
      </c>
      <c r="B344" s="140" t="e">
        <f>IF(AND($R344&gt;=$L344,$R344&lt;=$M344,$Q344&gt;=$J344,$Q344&lt;=$K344),IF(M344&lt;2000,D344,D344+2000),IF(M344&lt;2000,IF(AND($R344&gt;=$L344,$R344&lt;=$M344,$Q344&gt;=$H344,$Q344&lt;=$K344),A344,"-")))</f>
        <v>#REF!</v>
      </c>
      <c r="C344" s="140" t="e">
        <f>IF(G344=1,A344,B344)</f>
        <v>#REF!</v>
      </c>
      <c r="D344" s="194">
        <f t="shared" si="72"/>
        <v>10</v>
      </c>
      <c r="E344" s="195" t="s">
        <v>508</v>
      </c>
      <c r="F344" s="195"/>
      <c r="G344" s="195" t="e">
        <f t="shared" si="69"/>
        <v>#REF!</v>
      </c>
      <c r="H344" s="9">
        <v>0</v>
      </c>
      <c r="I344" s="9">
        <v>3</v>
      </c>
      <c r="J344" s="9">
        <v>0</v>
      </c>
      <c r="K344" s="9">
        <v>5.5</v>
      </c>
      <c r="L344" s="9">
        <v>600</v>
      </c>
      <c r="M344" s="9">
        <v>650</v>
      </c>
      <c r="N344" s="196"/>
      <c r="O344" s="196">
        <v>110</v>
      </c>
      <c r="P344" s="170"/>
      <c r="Q344" s="197" t="e">
        <f t="shared" si="70"/>
        <v>#REF!</v>
      </c>
      <c r="R344" s="198" t="e">
        <f t="shared" si="71"/>
        <v>#REF!</v>
      </c>
    </row>
    <row r="345" spans="1:18">
      <c r="A345" s="140" t="e">
        <f>IF(AND($R345&gt;=$L345,$R345&lt;=$M345,$Q345&gt;=$H345,$Q345&lt;=$I345),IF(M345&lt;2000,D345,D345+2000),"-")</f>
        <v>#REF!</v>
      </c>
      <c r="B345" s="140" t="e">
        <f>IF(AND($R345&gt;=$L345,$R345&lt;=$M345,$Q345&gt;=$J345,$Q345&lt;=$K345),IF(M345&lt;2000,D345,D345+2000),IF(M345&lt;2000,IF(AND($R345&gt;=$L345,$R345&lt;=$M345,$Q345&gt;=$H345,$Q345&lt;=$K345),A345,"-")))</f>
        <v>#REF!</v>
      </c>
      <c r="C345" s="140" t="e">
        <f>IF(G345=1,A345,B345)</f>
        <v>#REF!</v>
      </c>
      <c r="D345" s="194">
        <f t="shared" si="72"/>
        <v>11</v>
      </c>
      <c r="E345" s="195" t="s">
        <v>508</v>
      </c>
      <c r="F345" s="195"/>
      <c r="G345" s="195" t="e">
        <f t="shared" si="69"/>
        <v>#REF!</v>
      </c>
      <c r="H345" s="9">
        <v>0</v>
      </c>
      <c r="I345" s="9">
        <v>3</v>
      </c>
      <c r="J345" s="9">
        <v>0</v>
      </c>
      <c r="K345" s="9">
        <v>5</v>
      </c>
      <c r="L345" s="9">
        <v>650</v>
      </c>
      <c r="M345" s="9">
        <v>700</v>
      </c>
      <c r="N345" s="196"/>
      <c r="O345" s="196">
        <v>110</v>
      </c>
      <c r="P345" s="170"/>
      <c r="Q345" s="197" t="e">
        <f t="shared" si="70"/>
        <v>#REF!</v>
      </c>
      <c r="R345" s="198" t="e">
        <f t="shared" si="71"/>
        <v>#REF!</v>
      </c>
    </row>
    <row r="346" spans="1:18">
      <c r="A346" s="140" t="e">
        <f t="shared" si="66"/>
        <v>#REF!</v>
      </c>
      <c r="B346" s="140" t="e">
        <f t="shared" si="67"/>
        <v>#REF!</v>
      </c>
      <c r="C346" s="140" t="e">
        <f t="shared" si="68"/>
        <v>#REF!</v>
      </c>
      <c r="D346" s="194">
        <f t="shared" si="72"/>
        <v>12</v>
      </c>
      <c r="E346" s="195" t="s">
        <v>342</v>
      </c>
      <c r="F346" s="195"/>
      <c r="G346" s="195" t="e">
        <f t="shared" si="69"/>
        <v>#REF!</v>
      </c>
      <c r="H346" s="9">
        <v>0</v>
      </c>
      <c r="I346" s="9">
        <v>1000</v>
      </c>
      <c r="J346" s="9">
        <v>0</v>
      </c>
      <c r="K346" s="9">
        <v>1000</v>
      </c>
      <c r="L346" s="9">
        <v>0</v>
      </c>
      <c r="M346" s="9">
        <v>2000</v>
      </c>
      <c r="N346" s="196"/>
      <c r="O346" s="196">
        <v>110</v>
      </c>
      <c r="P346" s="170"/>
      <c r="Q346" s="197" t="e">
        <f t="shared" si="70"/>
        <v>#REF!</v>
      </c>
      <c r="R346" s="198" t="e">
        <f t="shared" si="71"/>
        <v>#REF!</v>
      </c>
    </row>
    <row r="347" spans="1:18">
      <c r="A347" s="140" t="e">
        <f t="shared" si="66"/>
        <v>#REF!</v>
      </c>
      <c r="B347" s="140" t="e">
        <f t="shared" si="67"/>
        <v>#REF!</v>
      </c>
      <c r="C347" s="140" t="e">
        <f t="shared" si="68"/>
        <v>#REF!</v>
      </c>
      <c r="D347" s="199">
        <f>D346+1</f>
        <v>13</v>
      </c>
      <c r="E347" s="200" t="s">
        <v>508</v>
      </c>
      <c r="F347" s="200"/>
      <c r="G347" s="200" t="e">
        <f t="shared" ref="G347:G358" si="73">IF($O$305&lt;=600,IF(SMALL($A$315:$A$322,1)&lt;2000,1,2),IF(AND($M$305&lt;=$M$304,$O$304&lt;=$O$305),1,2))</f>
        <v>#REF!</v>
      </c>
      <c r="H347" s="9">
        <v>0</v>
      </c>
      <c r="I347" s="9">
        <v>12.5</v>
      </c>
      <c r="J347" s="9">
        <v>0</v>
      </c>
      <c r="K347" s="9">
        <v>15</v>
      </c>
      <c r="L347" s="9">
        <v>200</v>
      </c>
      <c r="M347" s="9">
        <v>200</v>
      </c>
      <c r="N347" s="201"/>
      <c r="O347" s="201">
        <v>90</v>
      </c>
      <c r="P347" s="176"/>
      <c r="Q347" s="197" t="e">
        <f t="shared" si="70"/>
        <v>#REF!</v>
      </c>
      <c r="R347" s="198" t="e">
        <f t="shared" si="71"/>
        <v>#REF!</v>
      </c>
    </row>
    <row r="348" spans="1:18">
      <c r="A348" s="140" t="e">
        <f t="shared" si="66"/>
        <v>#REF!</v>
      </c>
      <c r="B348" s="140" t="e">
        <f t="shared" si="67"/>
        <v>#REF!</v>
      </c>
      <c r="C348" s="140" t="e">
        <f t="shared" si="68"/>
        <v>#REF!</v>
      </c>
      <c r="D348" s="199">
        <f t="shared" si="72"/>
        <v>14</v>
      </c>
      <c r="E348" s="200" t="s">
        <v>508</v>
      </c>
      <c r="F348" s="200"/>
      <c r="G348" s="200" t="e">
        <f t="shared" si="73"/>
        <v>#REF!</v>
      </c>
      <c r="H348" s="9">
        <v>0</v>
      </c>
      <c r="I348" s="9">
        <v>9.5</v>
      </c>
      <c r="J348" s="9">
        <v>0</v>
      </c>
      <c r="K348" s="9">
        <v>15</v>
      </c>
      <c r="L348" s="9">
        <v>200</v>
      </c>
      <c r="M348" s="9">
        <v>250</v>
      </c>
      <c r="N348" s="201"/>
      <c r="O348" s="201">
        <v>90</v>
      </c>
      <c r="P348" s="176"/>
      <c r="Q348" s="197" t="e">
        <f t="shared" si="70"/>
        <v>#REF!</v>
      </c>
      <c r="R348" s="198" t="e">
        <f t="shared" si="71"/>
        <v>#REF!</v>
      </c>
    </row>
    <row r="349" spans="1:18">
      <c r="A349" s="140" t="e">
        <f t="shared" si="66"/>
        <v>#REF!</v>
      </c>
      <c r="B349" s="140" t="e">
        <f t="shared" si="67"/>
        <v>#REF!</v>
      </c>
      <c r="C349" s="140" t="e">
        <f t="shared" si="68"/>
        <v>#REF!</v>
      </c>
      <c r="D349" s="199">
        <f t="shared" si="72"/>
        <v>15</v>
      </c>
      <c r="E349" s="200" t="s">
        <v>508</v>
      </c>
      <c r="F349" s="200"/>
      <c r="G349" s="200" t="e">
        <f t="shared" si="73"/>
        <v>#REF!</v>
      </c>
      <c r="H349" s="9">
        <v>0</v>
      </c>
      <c r="I349" s="9">
        <v>8</v>
      </c>
      <c r="J349" s="9">
        <v>0</v>
      </c>
      <c r="K349" s="9">
        <v>15</v>
      </c>
      <c r="L349" s="9">
        <v>250</v>
      </c>
      <c r="M349" s="9">
        <v>300</v>
      </c>
      <c r="N349" s="201"/>
      <c r="O349" s="201">
        <v>90</v>
      </c>
      <c r="P349" s="176"/>
      <c r="Q349" s="197" t="e">
        <f t="shared" si="70"/>
        <v>#REF!</v>
      </c>
      <c r="R349" s="198" t="e">
        <f t="shared" si="71"/>
        <v>#REF!</v>
      </c>
    </row>
    <row r="350" spans="1:18">
      <c r="A350" s="140" t="e">
        <f t="shared" si="66"/>
        <v>#REF!</v>
      </c>
      <c r="B350" s="140" t="e">
        <f t="shared" si="67"/>
        <v>#REF!</v>
      </c>
      <c r="C350" s="140" t="e">
        <f t="shared" si="68"/>
        <v>#REF!</v>
      </c>
      <c r="D350" s="199">
        <f t="shared" si="72"/>
        <v>16</v>
      </c>
      <c r="E350" s="200" t="s">
        <v>508</v>
      </c>
      <c r="F350" s="200"/>
      <c r="G350" s="200" t="e">
        <f t="shared" si="73"/>
        <v>#REF!</v>
      </c>
      <c r="H350" s="9">
        <v>0</v>
      </c>
      <c r="I350" s="9">
        <v>7</v>
      </c>
      <c r="J350" s="9">
        <v>0</v>
      </c>
      <c r="K350" s="9">
        <v>13.5</v>
      </c>
      <c r="L350" s="9">
        <v>300</v>
      </c>
      <c r="M350" s="9">
        <v>350</v>
      </c>
      <c r="N350" s="201"/>
      <c r="O350" s="201">
        <v>90</v>
      </c>
      <c r="P350" s="176"/>
      <c r="Q350" s="197" t="e">
        <f t="shared" si="70"/>
        <v>#REF!</v>
      </c>
      <c r="R350" s="198" t="e">
        <f t="shared" si="71"/>
        <v>#REF!</v>
      </c>
    </row>
    <row r="351" spans="1:18">
      <c r="A351" s="140" t="e">
        <f t="shared" si="66"/>
        <v>#REF!</v>
      </c>
      <c r="B351" s="140" t="e">
        <f t="shared" si="67"/>
        <v>#REF!</v>
      </c>
      <c r="C351" s="140" t="e">
        <f t="shared" si="68"/>
        <v>#REF!</v>
      </c>
      <c r="D351" s="199">
        <f t="shared" si="72"/>
        <v>17</v>
      </c>
      <c r="E351" s="200" t="s">
        <v>508</v>
      </c>
      <c r="F351" s="200"/>
      <c r="G351" s="200" t="e">
        <f t="shared" si="73"/>
        <v>#REF!</v>
      </c>
      <c r="H351" s="9">
        <v>0</v>
      </c>
      <c r="I351" s="9">
        <v>6</v>
      </c>
      <c r="J351" s="9">
        <v>0</v>
      </c>
      <c r="K351" s="9">
        <v>12</v>
      </c>
      <c r="L351" s="9">
        <v>350</v>
      </c>
      <c r="M351" s="9">
        <v>400</v>
      </c>
      <c r="N351" s="201"/>
      <c r="O351" s="201">
        <v>90</v>
      </c>
      <c r="P351" s="176"/>
      <c r="Q351" s="197" t="e">
        <f t="shared" si="70"/>
        <v>#REF!</v>
      </c>
      <c r="R351" s="198" t="e">
        <f t="shared" si="71"/>
        <v>#REF!</v>
      </c>
    </row>
    <row r="352" spans="1:18">
      <c r="A352" s="140" t="e">
        <f t="shared" si="66"/>
        <v>#REF!</v>
      </c>
      <c r="B352" s="140" t="e">
        <f t="shared" si="67"/>
        <v>#REF!</v>
      </c>
      <c r="C352" s="140" t="e">
        <f t="shared" si="68"/>
        <v>#REF!</v>
      </c>
      <c r="D352" s="199">
        <f t="shared" si="72"/>
        <v>18</v>
      </c>
      <c r="E352" s="200" t="s">
        <v>508</v>
      </c>
      <c r="F352" s="200"/>
      <c r="G352" s="200" t="e">
        <f t="shared" si="73"/>
        <v>#REF!</v>
      </c>
      <c r="H352" s="9">
        <v>0</v>
      </c>
      <c r="I352" s="9">
        <v>5</v>
      </c>
      <c r="J352" s="9">
        <v>0</v>
      </c>
      <c r="K352" s="9">
        <v>11</v>
      </c>
      <c r="L352" s="9">
        <v>400</v>
      </c>
      <c r="M352" s="9">
        <v>450</v>
      </c>
      <c r="N352" s="201"/>
      <c r="O352" s="201">
        <v>90</v>
      </c>
      <c r="P352" s="176"/>
      <c r="Q352" s="197" t="e">
        <f t="shared" si="70"/>
        <v>#REF!</v>
      </c>
      <c r="R352" s="198" t="e">
        <f t="shared" si="71"/>
        <v>#REF!</v>
      </c>
    </row>
    <row r="353" spans="1:18">
      <c r="A353" s="140" t="e">
        <f t="shared" si="66"/>
        <v>#REF!</v>
      </c>
      <c r="B353" s="140" t="e">
        <f t="shared" si="67"/>
        <v>#REF!</v>
      </c>
      <c r="C353" s="140" t="e">
        <f t="shared" si="68"/>
        <v>#REF!</v>
      </c>
      <c r="D353" s="199">
        <f t="shared" si="72"/>
        <v>19</v>
      </c>
      <c r="E353" s="200" t="s">
        <v>508</v>
      </c>
      <c r="F353" s="200"/>
      <c r="G353" s="200" t="e">
        <f t="shared" si="73"/>
        <v>#REF!</v>
      </c>
      <c r="H353" s="9">
        <v>0</v>
      </c>
      <c r="I353" s="9">
        <v>5</v>
      </c>
      <c r="J353" s="9">
        <v>0</v>
      </c>
      <c r="K353" s="9">
        <v>9.5</v>
      </c>
      <c r="L353" s="9">
        <v>450</v>
      </c>
      <c r="M353" s="9">
        <v>500</v>
      </c>
      <c r="N353" s="201"/>
      <c r="O353" s="201">
        <v>90</v>
      </c>
      <c r="P353" s="176"/>
      <c r="Q353" s="197" t="e">
        <f t="shared" si="70"/>
        <v>#REF!</v>
      </c>
      <c r="R353" s="198" t="e">
        <f t="shared" si="71"/>
        <v>#REF!</v>
      </c>
    </row>
    <row r="354" spans="1:18">
      <c r="A354" s="140" t="e">
        <f>IF(AND($R354&gt;=$L354,$R354&lt;=$M354,$Q354&gt;=$H354,$Q354&lt;=$I354),IF(M354&lt;2000,D354,D354+2000),"-")</f>
        <v>#REF!</v>
      </c>
      <c r="B354" s="140" t="e">
        <f>IF(AND($R354&gt;=$L354,$R354&lt;=$M354,$Q354&gt;=$J354,$Q354&lt;=$K354),IF(M354&lt;2000,D354,D354+2000),IF(M354&lt;2000,IF(AND($R354&gt;=$L354,$R354&lt;=$M354,$Q354&gt;=$H354,$Q354&lt;=$K354),A354,"-")))</f>
        <v>#REF!</v>
      </c>
      <c r="C354" s="140" t="e">
        <f>IF(G354=1,A354,B354)</f>
        <v>#REF!</v>
      </c>
      <c r="D354" s="199">
        <f t="shared" si="72"/>
        <v>20</v>
      </c>
      <c r="E354" s="200" t="s">
        <v>508</v>
      </c>
      <c r="F354" s="200"/>
      <c r="G354" s="200" t="e">
        <f t="shared" si="73"/>
        <v>#REF!</v>
      </c>
      <c r="H354" s="9">
        <v>0</v>
      </c>
      <c r="I354" s="9">
        <v>4</v>
      </c>
      <c r="J354" s="9">
        <v>0</v>
      </c>
      <c r="K354" s="9">
        <v>8.5</v>
      </c>
      <c r="L354" s="9">
        <v>500</v>
      </c>
      <c r="M354" s="9">
        <v>550</v>
      </c>
      <c r="N354" s="201"/>
      <c r="O354" s="201">
        <v>90</v>
      </c>
      <c r="P354" s="176"/>
      <c r="Q354" s="197" t="e">
        <f t="shared" si="70"/>
        <v>#REF!</v>
      </c>
      <c r="R354" s="198" t="e">
        <f t="shared" si="71"/>
        <v>#REF!</v>
      </c>
    </row>
    <row r="355" spans="1:18">
      <c r="A355" s="140" t="e">
        <f>IF(AND($R355&gt;=$L355,$R355&lt;=$M355,$Q355&gt;=$H355,$Q355&lt;=$I355),IF(M355&lt;2000,D355,D355+2000),"-")</f>
        <v>#REF!</v>
      </c>
      <c r="B355" s="140" t="e">
        <f>IF(AND($R355&gt;=$L355,$R355&lt;=$M355,$Q355&gt;=$J355,$Q355&lt;=$K355),IF(M355&lt;2000,D355,D355+2000),IF(M355&lt;2000,IF(AND($R355&gt;=$L355,$R355&lt;=$M355,$Q355&gt;=$H355,$Q355&lt;=$K355),A355,"-")))</f>
        <v>#REF!</v>
      </c>
      <c r="C355" s="140" t="e">
        <f>IF(G355=1,A355,B355)</f>
        <v>#REF!</v>
      </c>
      <c r="D355" s="199">
        <f t="shared" si="72"/>
        <v>21</v>
      </c>
      <c r="E355" s="200" t="s">
        <v>508</v>
      </c>
      <c r="F355" s="200"/>
      <c r="G355" s="200" t="e">
        <f t="shared" si="73"/>
        <v>#REF!</v>
      </c>
      <c r="H355" s="9">
        <v>0</v>
      </c>
      <c r="I355" s="9">
        <v>4</v>
      </c>
      <c r="J355" s="9">
        <v>0</v>
      </c>
      <c r="K355" s="9">
        <v>8</v>
      </c>
      <c r="L355" s="9">
        <v>550</v>
      </c>
      <c r="M355" s="9">
        <v>600</v>
      </c>
      <c r="N355" s="201"/>
      <c r="O355" s="201">
        <v>90</v>
      </c>
      <c r="P355" s="176"/>
      <c r="Q355" s="197" t="e">
        <f t="shared" si="70"/>
        <v>#REF!</v>
      </c>
      <c r="R355" s="198" t="e">
        <f t="shared" si="71"/>
        <v>#REF!</v>
      </c>
    </row>
    <row r="356" spans="1:18">
      <c r="A356" s="140" t="e">
        <f>IF(AND($R356&gt;=$L356,$R356&lt;=$M356,$Q356&gt;=$H356,$Q356&lt;=$I356),IF(M356&lt;2000,D356,D356+2000),"-")</f>
        <v>#REF!</v>
      </c>
      <c r="B356" s="140" t="e">
        <f>IF(AND($R356&gt;=$L356,$R356&lt;=$M356,$Q356&gt;=$J356,$Q356&lt;=$K356),IF(M356&lt;2000,D356,D356+2000),IF(M356&lt;2000,IF(AND($R356&gt;=$L356,$R356&lt;=$M356,$Q356&gt;=$H356,$Q356&lt;=$K356),A356,"-")))</f>
        <v>#REF!</v>
      </c>
      <c r="C356" s="140" t="e">
        <f>IF(G356=1,A356,B356)</f>
        <v>#REF!</v>
      </c>
      <c r="D356" s="199">
        <f t="shared" si="72"/>
        <v>22</v>
      </c>
      <c r="E356" s="200" t="s">
        <v>508</v>
      </c>
      <c r="F356" s="200"/>
      <c r="G356" s="200" t="e">
        <f t="shared" si="73"/>
        <v>#REF!</v>
      </c>
      <c r="H356" s="9">
        <v>0</v>
      </c>
      <c r="I356" s="9">
        <v>3.5</v>
      </c>
      <c r="J356" s="9">
        <v>0</v>
      </c>
      <c r="K356" s="9">
        <v>7</v>
      </c>
      <c r="L356" s="9">
        <v>600</v>
      </c>
      <c r="M356" s="9">
        <v>650</v>
      </c>
      <c r="N356" s="201"/>
      <c r="O356" s="201">
        <v>90</v>
      </c>
      <c r="P356" s="176"/>
      <c r="Q356" s="197" t="e">
        <f t="shared" si="70"/>
        <v>#REF!</v>
      </c>
      <c r="R356" s="198" t="e">
        <f t="shared" si="71"/>
        <v>#REF!</v>
      </c>
    </row>
    <row r="357" spans="1:18">
      <c r="A357" s="140" t="e">
        <f>IF(AND($R357&gt;=$L357,$R357&lt;=$M357,$Q357&gt;=$H357,$Q357&lt;=$I357),IF(M357&lt;2000,D357,D357+2000),"-")</f>
        <v>#REF!</v>
      </c>
      <c r="B357" s="140" t="e">
        <f>IF(AND($R357&gt;=$L357,$R357&lt;=$M357,$Q357&gt;=$J357,$Q357&lt;=$K357),IF(M357&lt;2000,D357,D357+2000),IF(M357&lt;2000,IF(AND($R357&gt;=$L357,$R357&lt;=$M357,$Q357&gt;=$H357,$Q357&lt;=$K357),A357,"-")))</f>
        <v>#REF!</v>
      </c>
      <c r="C357" s="140" t="e">
        <f>IF(G357=1,A357,B357)</f>
        <v>#REF!</v>
      </c>
      <c r="D357" s="199">
        <f t="shared" si="72"/>
        <v>23</v>
      </c>
      <c r="E357" s="200" t="s">
        <v>508</v>
      </c>
      <c r="F357" s="200"/>
      <c r="G357" s="200" t="e">
        <f t="shared" si="73"/>
        <v>#REF!</v>
      </c>
      <c r="H357" s="9">
        <v>0</v>
      </c>
      <c r="I357" s="9">
        <v>3</v>
      </c>
      <c r="J357" s="9">
        <v>0</v>
      </c>
      <c r="K357" s="9">
        <v>7</v>
      </c>
      <c r="L357" s="9">
        <v>650</v>
      </c>
      <c r="M357" s="9">
        <v>700</v>
      </c>
      <c r="N357" s="201"/>
      <c r="O357" s="201">
        <v>90</v>
      </c>
      <c r="P357" s="176"/>
      <c r="Q357" s="197" t="e">
        <f t="shared" si="70"/>
        <v>#REF!</v>
      </c>
      <c r="R357" s="198" t="e">
        <f t="shared" si="71"/>
        <v>#REF!</v>
      </c>
    </row>
    <row r="358" spans="1:18">
      <c r="A358" s="140" t="e">
        <f t="shared" si="66"/>
        <v>#REF!</v>
      </c>
      <c r="B358" s="140" t="e">
        <f t="shared" si="67"/>
        <v>#REF!</v>
      </c>
      <c r="C358" s="140" t="e">
        <f t="shared" si="68"/>
        <v>#REF!</v>
      </c>
      <c r="D358" s="199">
        <f t="shared" si="72"/>
        <v>24</v>
      </c>
      <c r="E358" s="200" t="s">
        <v>342</v>
      </c>
      <c r="F358" s="200"/>
      <c r="G358" s="200" t="e">
        <f t="shared" si="73"/>
        <v>#REF!</v>
      </c>
      <c r="H358" s="9">
        <v>0</v>
      </c>
      <c r="I358" s="9">
        <v>1000</v>
      </c>
      <c r="J358" s="9">
        <v>0</v>
      </c>
      <c r="K358" s="9">
        <v>1000</v>
      </c>
      <c r="L358" s="9">
        <v>0</v>
      </c>
      <c r="M358" s="9">
        <v>2000</v>
      </c>
      <c r="N358" s="201"/>
      <c r="O358" s="201">
        <v>90</v>
      </c>
      <c r="P358" s="176"/>
      <c r="Q358" s="197" t="e">
        <f t="shared" si="70"/>
        <v>#REF!</v>
      </c>
      <c r="R358" s="198" t="e">
        <f t="shared" si="71"/>
        <v>#REF!</v>
      </c>
    </row>
    <row r="359" spans="1:18">
      <c r="A359" s="140" t="e">
        <f t="shared" si="66"/>
        <v>#REF!</v>
      </c>
      <c r="B359" s="140" t="e">
        <f t="shared" si="67"/>
        <v>#REF!</v>
      </c>
      <c r="C359" s="140" t="e">
        <f t="shared" si="68"/>
        <v>#REF!</v>
      </c>
      <c r="D359" s="142">
        <f>D358+1</f>
        <v>25</v>
      </c>
      <c r="E359" s="143" t="s">
        <v>508</v>
      </c>
      <c r="F359" s="143"/>
      <c r="G359" s="143" t="e">
        <f t="shared" ref="G359:G370" si="74">IF($O$305&lt;=600,IF(SMALL($A$323:$A$330,1)&lt;2000,1,2),IF(AND($M$305&lt;=$M$304,$O$305&lt;=$O$304),1,2))</f>
        <v>#REF!</v>
      </c>
      <c r="H359" s="9">
        <v>0</v>
      </c>
      <c r="I359" s="9">
        <v>14</v>
      </c>
      <c r="J359" s="9">
        <v>0</v>
      </c>
      <c r="K359" s="9">
        <v>15</v>
      </c>
      <c r="L359" s="9">
        <v>200</v>
      </c>
      <c r="M359" s="9">
        <v>200</v>
      </c>
      <c r="N359" s="165"/>
      <c r="O359" s="165">
        <v>75</v>
      </c>
      <c r="Q359" s="197" t="e">
        <f t="shared" si="70"/>
        <v>#REF!</v>
      </c>
      <c r="R359" s="198" t="e">
        <f t="shared" si="71"/>
        <v>#REF!</v>
      </c>
    </row>
    <row r="360" spans="1:18">
      <c r="A360" s="140" t="e">
        <f t="shared" si="66"/>
        <v>#REF!</v>
      </c>
      <c r="B360" s="140" t="e">
        <f t="shared" si="67"/>
        <v>#REF!</v>
      </c>
      <c r="C360" s="140" t="e">
        <f t="shared" si="68"/>
        <v>#REF!</v>
      </c>
      <c r="D360" s="142">
        <f t="shared" si="72"/>
        <v>26</v>
      </c>
      <c r="E360" s="143" t="s">
        <v>508</v>
      </c>
      <c r="F360" s="143"/>
      <c r="G360" s="143" t="e">
        <f t="shared" si="74"/>
        <v>#REF!</v>
      </c>
      <c r="H360" s="9">
        <v>0</v>
      </c>
      <c r="I360" s="9">
        <v>11.5</v>
      </c>
      <c r="J360" s="9">
        <v>0</v>
      </c>
      <c r="K360" s="9">
        <v>15</v>
      </c>
      <c r="L360" s="9">
        <v>200</v>
      </c>
      <c r="M360" s="9">
        <v>250</v>
      </c>
      <c r="N360" s="165"/>
      <c r="O360" s="165">
        <v>75</v>
      </c>
      <c r="Q360" s="197" t="e">
        <f t="shared" si="70"/>
        <v>#REF!</v>
      </c>
      <c r="R360" s="198" t="e">
        <f t="shared" si="71"/>
        <v>#REF!</v>
      </c>
    </row>
    <row r="361" spans="1:18">
      <c r="A361" s="140" t="e">
        <f t="shared" si="66"/>
        <v>#REF!</v>
      </c>
      <c r="B361" s="140" t="e">
        <f t="shared" si="67"/>
        <v>#REF!</v>
      </c>
      <c r="C361" s="140" t="e">
        <f t="shared" si="68"/>
        <v>#REF!</v>
      </c>
      <c r="D361" s="142">
        <f t="shared" si="72"/>
        <v>27</v>
      </c>
      <c r="E361" s="143" t="s">
        <v>508</v>
      </c>
      <c r="F361" s="143"/>
      <c r="G361" s="143" t="e">
        <f t="shared" si="74"/>
        <v>#REF!</v>
      </c>
      <c r="H361" s="9">
        <v>0</v>
      </c>
      <c r="I361" s="9">
        <v>9</v>
      </c>
      <c r="J361" s="9">
        <v>0</v>
      </c>
      <c r="K361" s="9">
        <v>15</v>
      </c>
      <c r="L361" s="9">
        <v>250</v>
      </c>
      <c r="M361" s="9">
        <v>300</v>
      </c>
      <c r="N361" s="165"/>
      <c r="O361" s="165">
        <v>75</v>
      </c>
      <c r="Q361" s="197" t="e">
        <f t="shared" si="70"/>
        <v>#REF!</v>
      </c>
      <c r="R361" s="198" t="e">
        <f t="shared" si="71"/>
        <v>#REF!</v>
      </c>
    </row>
    <row r="362" spans="1:18">
      <c r="A362" s="140" t="e">
        <f t="shared" si="66"/>
        <v>#REF!</v>
      </c>
      <c r="B362" s="140" t="e">
        <f t="shared" si="67"/>
        <v>#REF!</v>
      </c>
      <c r="C362" s="140" t="e">
        <f t="shared" si="68"/>
        <v>#REF!</v>
      </c>
      <c r="D362" s="142">
        <f t="shared" si="72"/>
        <v>28</v>
      </c>
      <c r="E362" s="143" t="s">
        <v>508</v>
      </c>
      <c r="F362" s="143"/>
      <c r="G362" s="143" t="e">
        <f t="shared" si="74"/>
        <v>#REF!</v>
      </c>
      <c r="H362" s="9">
        <v>0</v>
      </c>
      <c r="I362" s="9">
        <v>8</v>
      </c>
      <c r="J362" s="9">
        <v>0</v>
      </c>
      <c r="K362" s="9">
        <v>15</v>
      </c>
      <c r="L362" s="9">
        <v>300</v>
      </c>
      <c r="M362" s="9">
        <v>350</v>
      </c>
      <c r="N362" s="165"/>
      <c r="O362" s="165">
        <v>75</v>
      </c>
      <c r="Q362" s="197" t="e">
        <f t="shared" si="70"/>
        <v>#REF!</v>
      </c>
      <c r="R362" s="198" t="e">
        <f t="shared" si="71"/>
        <v>#REF!</v>
      </c>
    </row>
    <row r="363" spans="1:18">
      <c r="A363" s="140" t="e">
        <f t="shared" si="66"/>
        <v>#REF!</v>
      </c>
      <c r="B363" s="140" t="e">
        <f t="shared" si="67"/>
        <v>#REF!</v>
      </c>
      <c r="C363" s="140" t="e">
        <f t="shared" si="68"/>
        <v>#REF!</v>
      </c>
      <c r="D363" s="142">
        <f t="shared" si="72"/>
        <v>29</v>
      </c>
      <c r="E363" s="143" t="s">
        <v>508</v>
      </c>
      <c r="F363" s="143"/>
      <c r="G363" s="143" t="e">
        <f t="shared" si="74"/>
        <v>#REF!</v>
      </c>
      <c r="H363" s="9">
        <v>0</v>
      </c>
      <c r="I363" s="9">
        <v>7</v>
      </c>
      <c r="J363" s="9">
        <v>0</v>
      </c>
      <c r="K363" s="9">
        <v>14</v>
      </c>
      <c r="L363" s="9">
        <v>350</v>
      </c>
      <c r="M363" s="9">
        <v>400</v>
      </c>
      <c r="N363" s="165"/>
      <c r="O363" s="165">
        <v>75</v>
      </c>
      <c r="Q363" s="197" t="e">
        <f t="shared" si="70"/>
        <v>#REF!</v>
      </c>
      <c r="R363" s="198" t="e">
        <f t="shared" si="71"/>
        <v>#REF!</v>
      </c>
    </row>
    <row r="364" spans="1:18">
      <c r="A364" s="140" t="e">
        <f t="shared" si="66"/>
        <v>#REF!</v>
      </c>
      <c r="B364" s="140" t="e">
        <f t="shared" si="67"/>
        <v>#REF!</v>
      </c>
      <c r="C364" s="140" t="e">
        <f t="shared" si="68"/>
        <v>#REF!</v>
      </c>
      <c r="D364" s="142">
        <f t="shared" si="72"/>
        <v>30</v>
      </c>
      <c r="E364" s="143" t="s">
        <v>508</v>
      </c>
      <c r="F364" s="143"/>
      <c r="G364" s="143" t="e">
        <f t="shared" si="74"/>
        <v>#REF!</v>
      </c>
      <c r="H364" s="9">
        <v>0</v>
      </c>
      <c r="I364" s="9">
        <v>6</v>
      </c>
      <c r="J364" s="9">
        <v>0</v>
      </c>
      <c r="K364" s="9">
        <v>12.5</v>
      </c>
      <c r="L364" s="9">
        <v>400</v>
      </c>
      <c r="M364" s="9">
        <v>450</v>
      </c>
      <c r="N364" s="165"/>
      <c r="O364" s="165">
        <v>75</v>
      </c>
      <c r="Q364" s="197" t="e">
        <f t="shared" si="70"/>
        <v>#REF!</v>
      </c>
      <c r="R364" s="198" t="e">
        <f t="shared" si="71"/>
        <v>#REF!</v>
      </c>
    </row>
    <row r="365" spans="1:18">
      <c r="A365" s="140" t="e">
        <f t="shared" si="66"/>
        <v>#REF!</v>
      </c>
      <c r="B365" s="140" t="e">
        <f t="shared" si="67"/>
        <v>#REF!</v>
      </c>
      <c r="C365" s="140" t="e">
        <f t="shared" si="68"/>
        <v>#REF!</v>
      </c>
      <c r="D365" s="142">
        <f t="shared" si="72"/>
        <v>31</v>
      </c>
      <c r="E365" s="143" t="s">
        <v>508</v>
      </c>
      <c r="F365" s="143"/>
      <c r="G365" s="143" t="e">
        <f t="shared" si="74"/>
        <v>#REF!</v>
      </c>
      <c r="H365" s="9">
        <v>0</v>
      </c>
      <c r="I365" s="9">
        <v>5.5</v>
      </c>
      <c r="J365" s="9">
        <v>0</v>
      </c>
      <c r="K365" s="9">
        <v>11</v>
      </c>
      <c r="L365" s="9">
        <v>450</v>
      </c>
      <c r="M365" s="9">
        <v>500</v>
      </c>
      <c r="N365" s="165"/>
      <c r="O365" s="165">
        <v>75</v>
      </c>
      <c r="Q365" s="197" t="e">
        <f t="shared" si="70"/>
        <v>#REF!</v>
      </c>
      <c r="R365" s="198" t="e">
        <f t="shared" si="71"/>
        <v>#REF!</v>
      </c>
    </row>
    <row r="366" spans="1:18">
      <c r="A366" s="140" t="e">
        <f>IF(AND($R366&gt;=$L366,$R366&lt;=$M366,$Q366&gt;=$H366,$Q366&lt;=$I366),IF(M366&lt;2000,D366,D366+2000),"-")</f>
        <v>#REF!</v>
      </c>
      <c r="B366" s="140" t="e">
        <f>IF(AND($R366&gt;=$L366,$R366&lt;=$M366,$Q366&gt;=$J366,$Q366&lt;=$K366),IF(M366&lt;2000,D366,D366+2000),IF(M366&lt;2000,IF(AND($R366&gt;=$L366,$R366&lt;=$M366,$Q366&gt;=$H366,$Q366&lt;=$K366),A366,"-")))</f>
        <v>#REF!</v>
      </c>
      <c r="C366" s="140" t="e">
        <f>IF(G366=1,A366,B366)</f>
        <v>#REF!</v>
      </c>
      <c r="D366" s="142">
        <f t="shared" si="72"/>
        <v>32</v>
      </c>
      <c r="E366" s="143" t="s">
        <v>508</v>
      </c>
      <c r="F366" s="143"/>
      <c r="G366" s="143" t="e">
        <f t="shared" si="74"/>
        <v>#REF!</v>
      </c>
      <c r="H366" s="9">
        <v>0</v>
      </c>
      <c r="I366" s="9">
        <v>5</v>
      </c>
      <c r="J366" s="9">
        <v>0</v>
      </c>
      <c r="K366" s="9">
        <v>10</v>
      </c>
      <c r="L366" s="9">
        <v>500</v>
      </c>
      <c r="M366" s="9">
        <v>550</v>
      </c>
      <c r="N366" s="165"/>
      <c r="O366" s="165">
        <v>75</v>
      </c>
      <c r="Q366" s="197" t="e">
        <f t="shared" si="70"/>
        <v>#REF!</v>
      </c>
      <c r="R366" s="198" t="e">
        <f t="shared" si="71"/>
        <v>#REF!</v>
      </c>
    </row>
    <row r="367" spans="1:18">
      <c r="A367" s="140" t="e">
        <f>IF(AND($R367&gt;=$L367,$R367&lt;=$M367,$Q367&gt;=$H367,$Q367&lt;=$I367),IF(M367&lt;2000,D367,D367+2000),"-")</f>
        <v>#REF!</v>
      </c>
      <c r="B367" s="140" t="e">
        <f>IF(AND($R367&gt;=$L367,$R367&lt;=$M367,$Q367&gt;=$J367,$Q367&lt;=$K367),IF(M367&lt;2000,D367,D367+2000),IF(M367&lt;2000,IF(AND($R367&gt;=$L367,$R367&lt;=$M367,$Q367&gt;=$H367,$Q367&lt;=$K367),A367,"-")))</f>
        <v>#REF!</v>
      </c>
      <c r="C367" s="140" t="e">
        <f>IF(G367=1,A367,B367)</f>
        <v>#REF!</v>
      </c>
      <c r="D367" s="142">
        <f t="shared" si="72"/>
        <v>33</v>
      </c>
      <c r="E367" s="143" t="s">
        <v>508</v>
      </c>
      <c r="F367" s="143"/>
      <c r="G367" s="143" t="e">
        <f t="shared" si="74"/>
        <v>#REF!</v>
      </c>
      <c r="H367" s="9">
        <v>0</v>
      </c>
      <c r="I367" s="9">
        <v>5</v>
      </c>
      <c r="J367" s="9">
        <v>0</v>
      </c>
      <c r="K367" s="9">
        <v>9.5</v>
      </c>
      <c r="L367" s="9">
        <v>550</v>
      </c>
      <c r="M367" s="9">
        <v>600</v>
      </c>
      <c r="N367" s="165"/>
      <c r="O367" s="165">
        <v>75</v>
      </c>
      <c r="Q367" s="197" t="e">
        <f t="shared" si="70"/>
        <v>#REF!</v>
      </c>
      <c r="R367" s="198" t="e">
        <f t="shared" si="71"/>
        <v>#REF!</v>
      </c>
    </row>
    <row r="368" spans="1:18">
      <c r="A368" s="140" t="e">
        <f>IF(AND($R368&gt;=$L368,$R368&lt;=$M368,$Q368&gt;=$H368,$Q368&lt;=$I368),IF(M368&lt;2000,D368,D368+2000),"-")</f>
        <v>#REF!</v>
      </c>
      <c r="B368" s="140" t="e">
        <f>IF(AND($R368&gt;=$L368,$R368&lt;=$M368,$Q368&gt;=$J368,$Q368&lt;=$K368),IF(M368&lt;2000,D368,D368+2000),IF(M368&lt;2000,IF(AND($R368&gt;=$L368,$R368&lt;=$M368,$Q368&gt;=$H368,$Q368&lt;=$K368),A368,"-")))</f>
        <v>#REF!</v>
      </c>
      <c r="C368" s="140" t="e">
        <f>IF(G368=1,A368,B368)</f>
        <v>#REF!</v>
      </c>
      <c r="D368" s="142">
        <f t="shared" si="72"/>
        <v>34</v>
      </c>
      <c r="E368" s="143" t="s">
        <v>508</v>
      </c>
      <c r="F368" s="143"/>
      <c r="G368" s="143" t="e">
        <f t="shared" si="74"/>
        <v>#REF!</v>
      </c>
      <c r="H368" s="9">
        <v>0</v>
      </c>
      <c r="I368" s="9">
        <v>4</v>
      </c>
      <c r="J368" s="9">
        <v>0</v>
      </c>
      <c r="K368" s="9">
        <v>8.5</v>
      </c>
      <c r="L368" s="9">
        <v>600</v>
      </c>
      <c r="M368" s="9">
        <v>650</v>
      </c>
      <c r="N368" s="165"/>
      <c r="O368" s="165">
        <v>75</v>
      </c>
      <c r="Q368" s="197" t="e">
        <f t="shared" si="70"/>
        <v>#REF!</v>
      </c>
      <c r="R368" s="198" t="e">
        <f t="shared" si="71"/>
        <v>#REF!</v>
      </c>
    </row>
    <row r="369" spans="1:18">
      <c r="A369" s="140" t="e">
        <f>IF(AND($R369&gt;=$L369,$R369&lt;=$M369,$Q369&gt;=$H369,$Q369&lt;=$I369),IF(M369&lt;2000,D369,D369+2000),"-")</f>
        <v>#REF!</v>
      </c>
      <c r="B369" s="140" t="e">
        <f>IF(AND($R369&gt;=$L369,$R369&lt;=$M369,$Q369&gt;=$J369,$Q369&lt;=$K369),IF(M369&lt;2000,D369,D369+2000),IF(M369&lt;2000,IF(AND($R369&gt;=$L369,$R369&lt;=$M369,$Q369&gt;=$H369,$Q369&lt;=$K369),A369,"-")))</f>
        <v>#REF!</v>
      </c>
      <c r="C369" s="140" t="e">
        <f>IF(G369=1,A369,B369)</f>
        <v>#REF!</v>
      </c>
      <c r="D369" s="142">
        <f t="shared" si="72"/>
        <v>35</v>
      </c>
      <c r="E369" s="143" t="s">
        <v>508</v>
      </c>
      <c r="F369" s="143"/>
      <c r="G369" s="143" t="e">
        <f t="shared" si="74"/>
        <v>#REF!</v>
      </c>
      <c r="H369" s="9">
        <v>0</v>
      </c>
      <c r="I369" s="9">
        <v>4</v>
      </c>
      <c r="J369" s="9">
        <v>0</v>
      </c>
      <c r="K369" s="9">
        <v>8</v>
      </c>
      <c r="L369" s="9">
        <v>650</v>
      </c>
      <c r="M369" s="9">
        <v>700</v>
      </c>
      <c r="N369" s="165"/>
      <c r="O369" s="165">
        <v>75</v>
      </c>
      <c r="Q369" s="197" t="e">
        <f t="shared" si="70"/>
        <v>#REF!</v>
      </c>
      <c r="R369" s="198" t="e">
        <f t="shared" si="71"/>
        <v>#REF!</v>
      </c>
    </row>
    <row r="370" spans="1:18">
      <c r="A370" s="140" t="e">
        <f t="shared" si="66"/>
        <v>#REF!</v>
      </c>
      <c r="B370" s="140" t="e">
        <f t="shared" si="67"/>
        <v>#REF!</v>
      </c>
      <c r="C370" s="140" t="e">
        <f t="shared" si="68"/>
        <v>#REF!</v>
      </c>
      <c r="D370" s="142">
        <f t="shared" si="72"/>
        <v>36</v>
      </c>
      <c r="E370" s="143" t="s">
        <v>342</v>
      </c>
      <c r="F370" s="143"/>
      <c r="G370" s="143" t="e">
        <f t="shared" si="74"/>
        <v>#REF!</v>
      </c>
      <c r="H370" s="9">
        <v>0</v>
      </c>
      <c r="I370" s="9">
        <v>1000</v>
      </c>
      <c r="J370" s="9">
        <v>0</v>
      </c>
      <c r="K370" s="9">
        <v>1000</v>
      </c>
      <c r="L370" s="9">
        <v>0</v>
      </c>
      <c r="M370" s="9">
        <v>2000</v>
      </c>
      <c r="N370" s="165"/>
      <c r="O370" s="165">
        <v>75</v>
      </c>
      <c r="Q370" s="197" t="e">
        <f t="shared" si="70"/>
        <v>#REF!</v>
      </c>
      <c r="R370" s="198" t="e">
        <f t="shared" si="71"/>
        <v>#REF!</v>
      </c>
    </row>
  </sheetData>
  <sheetProtection password="CEE3" sheet="1" objects="1" scenarios="1" selectLockedCells="1" selectUnlockedCells="1"/>
  <sortState ref="E218:N222">
    <sortCondition ref="E218:E222"/>
  </sortState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7"/>
  <dimension ref="A12:AR100"/>
  <sheetViews>
    <sheetView topLeftCell="I44" zoomScale="90" zoomScaleNormal="90" workbookViewId="0">
      <selection activeCell="F68" sqref="F68"/>
    </sheetView>
  </sheetViews>
  <sheetFormatPr defaultColWidth="9.140625" defaultRowHeight="15" outlineLevelCol="1"/>
  <cols>
    <col min="1" max="1" width="2.28515625" style="9" customWidth="1" outlineLevel="1"/>
    <col min="2" max="2" width="9.7109375" style="9" customWidth="1" outlineLevel="1"/>
    <col min="3" max="3" width="5.7109375" style="9" customWidth="1" outlineLevel="1"/>
    <col min="4" max="15" width="7" style="9" customWidth="1" outlineLevel="1"/>
    <col min="16" max="16" width="7.5703125" style="9" customWidth="1" outlineLevel="1"/>
    <col min="17" max="17" width="3.85546875" style="9" customWidth="1" outlineLevel="1"/>
    <col min="18" max="19" width="11.140625" style="9" customWidth="1" outlineLevel="1"/>
    <col min="20" max="20" width="4.42578125" style="9" customWidth="1" outlineLevel="1"/>
    <col min="21" max="23" width="9.140625" style="9" customWidth="1" outlineLevel="1"/>
    <col min="24" max="24" width="4" style="9" customWidth="1" outlineLevel="1"/>
    <col min="25" max="26" width="8.140625" style="9" customWidth="1" outlineLevel="1"/>
    <col min="27" max="27" width="9.28515625" style="9" customWidth="1" outlineLevel="1"/>
    <col min="28" max="28" width="5.28515625" style="9" customWidth="1" outlineLevel="1"/>
    <col min="29" max="29" width="20.7109375" style="9" customWidth="1" outlineLevel="1"/>
    <col min="30" max="30" width="9.140625" style="9" customWidth="1" outlineLevel="1"/>
    <col min="31" max="31" width="11.85546875" style="9" customWidth="1" outlineLevel="1"/>
    <col min="32" max="32" width="9.140625" style="9" customWidth="1" outlineLevel="1"/>
    <col min="33" max="34" width="4.28515625" style="9" customWidth="1"/>
    <col min="35" max="35" width="21.42578125" style="9" customWidth="1"/>
    <col min="36" max="38" width="9.140625" style="9"/>
    <col min="39" max="39" width="10.28515625" style="9" bestFit="1" customWidth="1"/>
    <col min="40" max="16384" width="9.140625" style="9"/>
  </cols>
  <sheetData>
    <row r="12" spans="2:44" s="202" customFormat="1"/>
    <row r="14" spans="2:44">
      <c r="B14" s="440" t="s">
        <v>62</v>
      </c>
      <c r="C14" s="440"/>
      <c r="D14" s="441"/>
      <c r="E14" s="441"/>
      <c r="F14" s="441"/>
      <c r="G14" s="441"/>
      <c r="H14" s="441"/>
      <c r="I14" s="441"/>
      <c r="J14" s="441"/>
      <c r="K14" s="441"/>
      <c r="L14" s="441"/>
      <c r="M14" s="441"/>
      <c r="N14" s="441"/>
      <c r="O14" s="442"/>
      <c r="R14" s="450" t="s">
        <v>66</v>
      </c>
      <c r="S14" s="450"/>
      <c r="U14" s="140"/>
      <c r="V14" s="140"/>
      <c r="W14" s="140"/>
      <c r="X14" s="140"/>
      <c r="Y14" s="140"/>
      <c r="Z14" s="140"/>
      <c r="AA14" s="140"/>
      <c r="AC14" s="9" t="s">
        <v>162</v>
      </c>
      <c r="AD14" s="9">
        <v>0.1</v>
      </c>
      <c r="AJ14" s="9">
        <v>1</v>
      </c>
      <c r="AK14" s="9">
        <v>2</v>
      </c>
      <c r="AL14" s="9">
        <v>3</v>
      </c>
      <c r="AM14" s="9">
        <v>4</v>
      </c>
      <c r="AN14" s="9">
        <v>5</v>
      </c>
      <c r="AO14" s="9">
        <v>6</v>
      </c>
      <c r="AP14" s="9">
        <v>7</v>
      </c>
      <c r="AQ14" s="9">
        <v>8</v>
      </c>
      <c r="AR14" s="9">
        <v>9</v>
      </c>
    </row>
    <row r="15" spans="2:44" ht="29.25" customHeight="1">
      <c r="B15" s="203" t="s">
        <v>63</v>
      </c>
      <c r="C15" s="203"/>
      <c r="D15" s="443" t="s">
        <v>64</v>
      </c>
      <c r="E15" s="443"/>
      <c r="F15" s="443"/>
      <c r="G15" s="443"/>
      <c r="H15" s="443"/>
      <c r="I15" s="443"/>
      <c r="J15" s="443"/>
      <c r="K15" s="443"/>
      <c r="L15" s="443"/>
      <c r="M15" s="443"/>
      <c r="N15" s="443"/>
      <c r="O15" s="443"/>
      <c r="R15" s="451" t="s">
        <v>67</v>
      </c>
      <c r="S15" s="453" t="s">
        <v>68</v>
      </c>
      <c r="U15" s="4" t="s">
        <v>69</v>
      </c>
      <c r="V15" s="4" t="s">
        <v>70</v>
      </c>
      <c r="W15" s="4" t="s">
        <v>71</v>
      </c>
      <c r="Y15" s="4" t="s">
        <v>69</v>
      </c>
      <c r="Z15" s="4" t="s">
        <v>70</v>
      </c>
      <c r="AA15" s="4" t="s">
        <v>71</v>
      </c>
      <c r="AC15" s="4" t="s">
        <v>77</v>
      </c>
      <c r="AD15" s="4" t="s">
        <v>79</v>
      </c>
      <c r="AE15" s="4" t="s">
        <v>81</v>
      </c>
      <c r="AF15" s="4" t="s">
        <v>82</v>
      </c>
      <c r="AJ15" s="204" t="s">
        <v>142</v>
      </c>
      <c r="AK15" s="205" t="s">
        <v>143</v>
      </c>
      <c r="AL15" s="205" t="s">
        <v>130</v>
      </c>
      <c r="AM15" s="205" t="s">
        <v>30</v>
      </c>
      <c r="AN15" s="205" t="s">
        <v>179</v>
      </c>
      <c r="AO15" s="205" t="s">
        <v>48</v>
      </c>
      <c r="AP15" s="205" t="s">
        <v>144</v>
      </c>
      <c r="AQ15" s="205" t="s">
        <v>46</v>
      </c>
      <c r="AR15" s="205" t="s">
        <v>507</v>
      </c>
    </row>
    <row r="16" spans="2:44">
      <c r="B16" s="206"/>
      <c r="C16" s="206"/>
      <c r="D16" s="207">
        <v>400</v>
      </c>
      <c r="E16" s="207">
        <v>450</v>
      </c>
      <c r="F16" s="207">
        <v>500</v>
      </c>
      <c r="G16" s="207">
        <v>550</v>
      </c>
      <c r="H16" s="207">
        <v>600</v>
      </c>
      <c r="I16" s="207">
        <v>700</v>
      </c>
      <c r="J16" s="207">
        <v>800</v>
      </c>
      <c r="K16" s="207">
        <v>900</v>
      </c>
      <c r="L16" s="207">
        <v>1000</v>
      </c>
      <c r="M16" s="207">
        <v>1200</v>
      </c>
      <c r="N16" s="207">
        <v>1500</v>
      </c>
      <c r="O16" s="207">
        <v>1800</v>
      </c>
      <c r="R16" s="452"/>
      <c r="S16" s="454"/>
      <c r="U16" s="208">
        <v>400</v>
      </c>
      <c r="V16" s="209">
        <v>200</v>
      </c>
      <c r="W16" s="210">
        <v>15</v>
      </c>
      <c r="Y16" s="134">
        <f>'Free-Серия'!$I$3</f>
        <v>600</v>
      </c>
      <c r="Z16" s="134">
        <f>'Free-Серия'!$I$5</f>
        <v>800</v>
      </c>
      <c r="AA16" s="134">
        <f>'Free-Серия'!$M$3</f>
        <v>16</v>
      </c>
      <c r="AC16" s="163" t="s">
        <v>83</v>
      </c>
      <c r="AD16" s="9">
        <v>2.5000000000000002E-6</v>
      </c>
      <c r="AE16" s="147">
        <f>Y$16*Z$16*AA$16*AD16</f>
        <v>19.200000000000003</v>
      </c>
      <c r="AF16" s="9">
        <f>Z40</f>
        <v>5.7</v>
      </c>
      <c r="AH16" s="9">
        <v>1</v>
      </c>
      <c r="AI16" s="211" t="s">
        <v>69</v>
      </c>
      <c r="AJ16" s="188">
        <f>FFGШирина</f>
        <v>600</v>
      </c>
      <c r="AK16" s="188">
        <f>FFP17Ширина</f>
        <v>800</v>
      </c>
      <c r="AL16" s="188">
        <f>FFP315Ширина</f>
        <v>900</v>
      </c>
      <c r="AM16" s="188">
        <f>FSШирина</f>
        <v>600</v>
      </c>
      <c r="AN16" s="188">
        <f>FUШирина</f>
        <v>900</v>
      </c>
      <c r="AO16" s="188">
        <f>FFPH15Ширина</f>
        <v>600</v>
      </c>
      <c r="AP16" s="188" t="e">
        <f>MXШирина</f>
        <v>#REF!</v>
      </c>
      <c r="AQ16" s="188" t="e">
        <f>DUOШирина</f>
        <v>#REF!</v>
      </c>
      <c r="AR16" s="188" t="e">
        <f>DUOFШирина</f>
        <v>#REF!</v>
      </c>
    </row>
    <row r="17" spans="2:44">
      <c r="B17" s="206"/>
      <c r="C17" s="206"/>
      <c r="D17" s="212">
        <v>1</v>
      </c>
      <c r="E17" s="212">
        <v>2</v>
      </c>
      <c r="F17" s="212">
        <v>3</v>
      </c>
      <c r="G17" s="212">
        <v>4</v>
      </c>
      <c r="H17" s="212">
        <v>5</v>
      </c>
      <c r="I17" s="212">
        <v>6</v>
      </c>
      <c r="J17" s="212">
        <v>7</v>
      </c>
      <c r="K17" s="212">
        <v>8</v>
      </c>
      <c r="L17" s="212">
        <v>9</v>
      </c>
      <c r="M17" s="212">
        <v>10</v>
      </c>
      <c r="N17" s="212">
        <v>11</v>
      </c>
      <c r="O17" s="212">
        <v>12</v>
      </c>
      <c r="R17" s="213"/>
      <c r="S17" s="214"/>
      <c r="U17" s="208">
        <f>U16+50</f>
        <v>450</v>
      </c>
      <c r="V17" s="209">
        <f>V16+10</f>
        <v>210</v>
      </c>
      <c r="W17" s="210">
        <v>16</v>
      </c>
      <c r="Y17" s="134">
        <f>INT(Y16/50)*50</f>
        <v>600</v>
      </c>
      <c r="Z17" s="134">
        <f>INT(Z16/50)*50</f>
        <v>800</v>
      </c>
      <c r="AA17" s="134"/>
      <c r="AC17" s="163" t="s">
        <v>75</v>
      </c>
      <c r="AD17" s="9">
        <v>6.7999999999999995E-7</v>
      </c>
      <c r="AE17" s="147">
        <f>Y$16*Z$16*AA$16*AD17</f>
        <v>5.2223999999999995</v>
      </c>
      <c r="AF17" s="145">
        <f>Z26</f>
        <v>5.2080000000000002</v>
      </c>
      <c r="AG17" s="145"/>
      <c r="AH17" s="9">
        <v>2</v>
      </c>
      <c r="AI17" s="211" t="s">
        <v>70</v>
      </c>
      <c r="AJ17" s="188">
        <f>FFDВысота</f>
        <v>800</v>
      </c>
      <c r="AK17" s="188">
        <f>FFP17Высота</f>
        <v>400</v>
      </c>
      <c r="AL17" s="188">
        <f>FFP315Высота</f>
        <v>650</v>
      </c>
      <c r="AM17" s="188">
        <f>FSВысота</f>
        <v>720</v>
      </c>
      <c r="AN17" s="188">
        <f>FUВысота</f>
        <v>550</v>
      </c>
      <c r="AO17" s="188">
        <f>FFPH15Высота</f>
        <v>600</v>
      </c>
      <c r="AP17" s="188" t="e">
        <f>MXВысота</f>
        <v>#REF!</v>
      </c>
      <c r="AQ17" s="188" t="e">
        <f>DUOВысота</f>
        <v>#REF!</v>
      </c>
      <c r="AR17" s="188" t="e">
        <f>DUOFВысота</f>
        <v>#REF!</v>
      </c>
    </row>
    <row r="18" spans="2:44">
      <c r="B18" s="215">
        <v>300</v>
      </c>
      <c r="C18" s="216">
        <v>1</v>
      </c>
      <c r="D18" s="217">
        <v>1.6</v>
      </c>
      <c r="E18" s="217">
        <v>1.7</v>
      </c>
      <c r="F18" s="217">
        <v>1.9</v>
      </c>
      <c r="G18" s="217">
        <v>2.1</v>
      </c>
      <c r="H18" s="217">
        <v>2.2999999999999998</v>
      </c>
      <c r="I18" s="217">
        <v>2.7</v>
      </c>
      <c r="J18" s="217">
        <v>3.1</v>
      </c>
      <c r="K18" s="217">
        <v>3.5</v>
      </c>
      <c r="L18" s="217">
        <v>3.9</v>
      </c>
      <c r="M18" s="217">
        <v>4.7</v>
      </c>
      <c r="N18" s="217">
        <v>5.8</v>
      </c>
      <c r="O18" s="217">
        <v>7</v>
      </c>
      <c r="R18" s="218">
        <v>15</v>
      </c>
      <c r="S18" s="218">
        <v>0.79</v>
      </c>
      <c r="U18" s="208">
        <f t="shared" ref="U18:U44" si="0">U17+50</f>
        <v>500</v>
      </c>
      <c r="V18" s="209">
        <f t="shared" ref="V18:V25" si="1">V17+10</f>
        <v>220</v>
      </c>
      <c r="W18" s="210">
        <v>18</v>
      </c>
      <c r="Y18" s="134">
        <f>Y16-Y17</f>
        <v>0</v>
      </c>
      <c r="Z18" s="134">
        <f>Z16-Z17</f>
        <v>0</v>
      </c>
      <c r="AA18" s="134"/>
      <c r="AC18" s="163" t="s">
        <v>78</v>
      </c>
      <c r="AD18" s="9">
        <v>7.6000000000000003E-7</v>
      </c>
      <c r="AE18" s="147">
        <f>Y$16*Z$16*AA$16*AD18</f>
        <v>5.8368000000000002</v>
      </c>
      <c r="AF18" s="219">
        <f>AE18</f>
        <v>5.8368000000000002</v>
      </c>
      <c r="AG18" s="219"/>
      <c r="AH18" s="9">
        <v>3</v>
      </c>
      <c r="AI18" s="211" t="s">
        <v>71</v>
      </c>
      <c r="AJ18" s="220">
        <f>FFDТолщина</f>
        <v>16</v>
      </c>
      <c r="AK18" s="220">
        <f>FFP17Толщина</f>
        <v>18</v>
      </c>
      <c r="AL18" s="188">
        <f>FFP315Толщина</f>
        <v>19</v>
      </c>
      <c r="AM18" s="188">
        <f>FSТолщина</f>
        <v>19</v>
      </c>
      <c r="AN18" s="188">
        <f>FUТолщина</f>
        <v>19</v>
      </c>
      <c r="AO18" s="188">
        <f>FFPH15Толщина</f>
        <v>16</v>
      </c>
      <c r="AP18" s="188" t="e">
        <f>MXТолщина</f>
        <v>#REF!</v>
      </c>
      <c r="AQ18" s="188" t="e">
        <f>DUOТолщина</f>
        <v>#REF!</v>
      </c>
      <c r="AR18" s="188" t="e">
        <f>DUOFТолщина</f>
        <v>#REF!</v>
      </c>
    </row>
    <row r="19" spans="2:44">
      <c r="B19" s="215">
        <v>350</v>
      </c>
      <c r="C19" s="216">
        <v>2</v>
      </c>
      <c r="D19" s="217">
        <v>1.8</v>
      </c>
      <c r="E19" s="217">
        <v>2</v>
      </c>
      <c r="F19" s="217">
        <v>2.2999999999999998</v>
      </c>
      <c r="G19" s="217">
        <v>2.5</v>
      </c>
      <c r="H19" s="217">
        <v>2.7</v>
      </c>
      <c r="I19" s="217">
        <v>3.2</v>
      </c>
      <c r="J19" s="217">
        <v>3.6</v>
      </c>
      <c r="K19" s="217">
        <v>4.0999999999999996</v>
      </c>
      <c r="L19" s="217">
        <v>4.5</v>
      </c>
      <c r="M19" s="217">
        <v>5.4</v>
      </c>
      <c r="N19" s="217">
        <v>6.8</v>
      </c>
      <c r="O19" s="217">
        <v>8.1</v>
      </c>
      <c r="R19" s="218">
        <v>16</v>
      </c>
      <c r="S19" s="218">
        <v>0.84</v>
      </c>
      <c r="U19" s="208">
        <f t="shared" si="0"/>
        <v>550</v>
      </c>
      <c r="V19" s="209">
        <f t="shared" si="1"/>
        <v>230</v>
      </c>
      <c r="W19" s="210">
        <v>19</v>
      </c>
      <c r="Y19" s="134">
        <f>Y18/50</f>
        <v>0</v>
      </c>
      <c r="Z19" s="134">
        <f>Z18/50</f>
        <v>0</v>
      </c>
      <c r="AA19" s="134"/>
      <c r="AH19" s="9">
        <v>4</v>
      </c>
      <c r="AI19" s="221" t="str">
        <f>AC16</f>
        <v>Алюминевые рамки</v>
      </c>
      <c r="AJ19" s="40">
        <f t="shared" ref="AJ19:AQ19" si="2">VLOOKUP(ИндексВысоты,Алм_ТабФ,ИндексШирины+1)+SUM((AJ$16-INT(AJ16/50)*50)/50*(VLOOKUP(ИндексВысоты,Алм_ТабФ,ИндексШирины+1+1)-VLOOKUP(ИндексВысоты,Алм_ТабФ,ИндексШирины+1)),(AJ$17-INT(AJ$17/50)*50)/50*(VLOOKUP(ИндексВысоты+1,Алм_ТабФ,ИндексШирины+1)-VLOOKUP(ИндексВысоты,Алм_ТабФ,ИндексШирины+1)))+$AD$14</f>
        <v>5.8</v>
      </c>
      <c r="AK19" s="40">
        <f t="shared" si="2"/>
        <v>4.0999999999999996</v>
      </c>
      <c r="AL19" s="40">
        <f t="shared" si="2"/>
        <v>7</v>
      </c>
      <c r="AM19" s="40">
        <f t="shared" si="2"/>
        <v>5.26</v>
      </c>
      <c r="AN19" s="40">
        <f t="shared" si="2"/>
        <v>6</v>
      </c>
      <c r="AO19" s="40">
        <f t="shared" si="2"/>
        <v>4.5</v>
      </c>
      <c r="AP19" s="40" t="e">
        <f t="shared" si="2"/>
        <v>#REF!</v>
      </c>
      <c r="AQ19" s="40" t="e">
        <f t="shared" si="2"/>
        <v>#REF!</v>
      </c>
      <c r="AR19" s="40" t="e">
        <f>VLOOKUP(ИндексВысоты,Алм_ТабФ,ИндексШирины+1)+SUM((AR$16-INT(AR16/50)*50)/50*(VLOOKUP(ИндексВысоты,Алм_ТабФ,ИндексШирины+1+1)-VLOOKUP(ИндексВысоты,Алм_ТабФ,ИндексШирины+1)),(AR$17-INT(AR$17/50)*50)/50*(VLOOKUP(ИндексВысоты+1,Алм_ТабФ,ИндексШирины+1)-VLOOKUP(ИндексВысоты,Алм_ТабФ,ИндексШирины+1)))+$AD$14</f>
        <v>#REF!</v>
      </c>
    </row>
    <row r="20" spans="2:44">
      <c r="B20" s="215">
        <v>400</v>
      </c>
      <c r="C20" s="216">
        <v>3</v>
      </c>
      <c r="D20" s="217">
        <v>2.1</v>
      </c>
      <c r="E20" s="217">
        <v>2.2999999999999998</v>
      </c>
      <c r="F20" s="217">
        <v>2.6</v>
      </c>
      <c r="G20" s="217">
        <v>2.8</v>
      </c>
      <c r="H20" s="217">
        <v>3.1</v>
      </c>
      <c r="I20" s="217">
        <v>3.6</v>
      </c>
      <c r="J20" s="217">
        <v>4.0999999999999996</v>
      </c>
      <c r="K20" s="217">
        <v>4.7</v>
      </c>
      <c r="L20" s="217">
        <v>5.2</v>
      </c>
      <c r="M20" s="217">
        <v>6.2</v>
      </c>
      <c r="N20" s="217">
        <v>7.8</v>
      </c>
      <c r="O20" s="217">
        <v>9.3000000000000007</v>
      </c>
      <c r="R20" s="218">
        <v>18</v>
      </c>
      <c r="S20" s="218">
        <v>0.95</v>
      </c>
      <c r="U20" s="208">
        <f t="shared" si="0"/>
        <v>600</v>
      </c>
      <c r="V20" s="209">
        <f t="shared" si="1"/>
        <v>240</v>
      </c>
      <c r="W20" s="210">
        <v>20</v>
      </c>
      <c r="Y20" s="222">
        <f>MATCH(Y16,ШиринаФТаб,3)</f>
        <v>5</v>
      </c>
      <c r="Z20" s="222">
        <f>MATCH(Z16,ВысотаФТаб,3)</f>
        <v>11</v>
      </c>
      <c r="AA20" s="134"/>
      <c r="AH20" s="9">
        <v>5</v>
      </c>
      <c r="AI20" s="221" t="str">
        <f>AC17</f>
        <v>ДСП</v>
      </c>
      <c r="AJ20" s="223">
        <f t="shared" ref="AJ20:AQ21" si="3">AJ$16*AJ$17*AJ$18*$AD17+$AD$14</f>
        <v>5.3223999999999991</v>
      </c>
      <c r="AK20" s="223">
        <f t="shared" si="3"/>
        <v>4.0167999999999999</v>
      </c>
      <c r="AL20" s="223">
        <f t="shared" si="3"/>
        <v>7.658199999999999</v>
      </c>
      <c r="AM20" s="223">
        <f t="shared" si="3"/>
        <v>5.6814399999999994</v>
      </c>
      <c r="AN20" s="223">
        <f t="shared" si="3"/>
        <v>6.4953999999999992</v>
      </c>
      <c r="AO20" s="223">
        <f t="shared" si="3"/>
        <v>4.0167999999999999</v>
      </c>
      <c r="AP20" s="223" t="e">
        <f t="shared" si="3"/>
        <v>#REF!</v>
      </c>
      <c r="AQ20" s="223" t="e">
        <f t="shared" si="3"/>
        <v>#REF!</v>
      </c>
      <c r="AR20" s="223" t="e">
        <f>AR$16*AR$17*AR$18*$AD17+$AD$14</f>
        <v>#REF!</v>
      </c>
    </row>
    <row r="21" spans="2:44">
      <c r="B21" s="215">
        <v>450</v>
      </c>
      <c r="C21" s="216">
        <v>4</v>
      </c>
      <c r="D21" s="217">
        <v>2.2999999999999998</v>
      </c>
      <c r="E21" s="217">
        <v>2.6</v>
      </c>
      <c r="F21" s="217">
        <v>2.9</v>
      </c>
      <c r="G21" s="217">
        <v>3.2</v>
      </c>
      <c r="H21" s="217">
        <v>3.5</v>
      </c>
      <c r="I21" s="217">
        <v>4.0999999999999996</v>
      </c>
      <c r="J21" s="217">
        <v>4.7</v>
      </c>
      <c r="K21" s="217">
        <v>5.2</v>
      </c>
      <c r="L21" s="217">
        <v>5.8</v>
      </c>
      <c r="M21" s="217">
        <v>7</v>
      </c>
      <c r="N21" s="217">
        <v>8.6999999999999993</v>
      </c>
      <c r="O21" s="217">
        <v>10.5</v>
      </c>
      <c r="R21" s="218">
        <v>19</v>
      </c>
      <c r="S21" s="218">
        <v>1</v>
      </c>
      <c r="U21" s="208">
        <v>650</v>
      </c>
      <c r="V21" s="209">
        <f t="shared" si="1"/>
        <v>250</v>
      </c>
      <c r="W21" s="210">
        <v>22</v>
      </c>
      <c r="Y21" s="134">
        <f>VLOOKUP(Z20,ДСП_ТабФ,Y20+1+1)</f>
        <v>7.2</v>
      </c>
      <c r="Z21" s="134">
        <f>VLOOKUP(Z20+1,ДСП_ТабФ,Y20+1)</f>
        <v>6.6</v>
      </c>
      <c r="AA21" s="134"/>
      <c r="AC21" s="163" t="s">
        <v>84</v>
      </c>
      <c r="AD21" s="9">
        <f>$AD$18/$AD$17</f>
        <v>1.1176470588235294</v>
      </c>
      <c r="AH21" s="9">
        <v>6</v>
      </c>
      <c r="AI21" s="221" t="str">
        <f>AC18</f>
        <v>МДФ</v>
      </c>
      <c r="AJ21" s="224">
        <f t="shared" si="3"/>
        <v>5.9367999999999999</v>
      </c>
      <c r="AK21" s="224">
        <f t="shared" si="3"/>
        <v>4.4775999999999998</v>
      </c>
      <c r="AL21" s="224">
        <f t="shared" si="3"/>
        <v>8.5473999999999997</v>
      </c>
      <c r="AM21" s="224">
        <f t="shared" si="3"/>
        <v>6.3380799999999997</v>
      </c>
      <c r="AN21" s="224">
        <f t="shared" si="3"/>
        <v>7.2477999999999998</v>
      </c>
      <c r="AO21" s="224">
        <f t="shared" si="3"/>
        <v>4.4775999999999998</v>
      </c>
      <c r="AP21" s="224" t="e">
        <f t="shared" si="3"/>
        <v>#REF!</v>
      </c>
      <c r="AQ21" s="224" t="e">
        <f t="shared" si="3"/>
        <v>#REF!</v>
      </c>
      <c r="AR21" s="224" t="e">
        <f>AR$16*AR$17*AR$18*$AD18+$AD$14</f>
        <v>#REF!</v>
      </c>
    </row>
    <row r="22" spans="2:44">
      <c r="B22" s="215">
        <v>500</v>
      </c>
      <c r="C22" s="216">
        <v>5</v>
      </c>
      <c r="D22" s="217">
        <v>2.6</v>
      </c>
      <c r="E22" s="217">
        <v>2.9</v>
      </c>
      <c r="F22" s="217">
        <v>3.2</v>
      </c>
      <c r="G22" s="217">
        <v>3.6</v>
      </c>
      <c r="H22" s="217">
        <v>3.9</v>
      </c>
      <c r="I22" s="217">
        <v>4.5</v>
      </c>
      <c r="J22" s="217">
        <v>5.2</v>
      </c>
      <c r="K22" s="217">
        <v>5.8</v>
      </c>
      <c r="L22" s="217">
        <v>6.5</v>
      </c>
      <c r="M22" s="217">
        <v>7.8</v>
      </c>
      <c r="N22" s="217">
        <v>9.6999999999999993</v>
      </c>
      <c r="O22" s="217">
        <v>11.6</v>
      </c>
      <c r="R22" s="218">
        <v>20</v>
      </c>
      <c r="S22" s="218">
        <v>1.05</v>
      </c>
      <c r="U22" s="208">
        <f t="shared" si="0"/>
        <v>700</v>
      </c>
      <c r="V22" s="209">
        <f t="shared" si="1"/>
        <v>260</v>
      </c>
      <c r="W22" s="210">
        <v>23</v>
      </c>
      <c r="Y22" s="134">
        <f>Y21-Y24</f>
        <v>1</v>
      </c>
      <c r="Z22" s="134">
        <f>Z21-Y24</f>
        <v>0.39999999999999947</v>
      </c>
      <c r="AA22" s="134"/>
      <c r="AH22" s="9">
        <v>7</v>
      </c>
      <c r="AI22" s="225" t="s">
        <v>240</v>
      </c>
      <c r="AJ22" s="226">
        <f>FFDВес</f>
        <v>5.9367999999999999</v>
      </c>
      <c r="AK22" s="226"/>
      <c r="AL22" s="226"/>
      <c r="AM22" s="226"/>
      <c r="AN22" s="226"/>
      <c r="AO22" s="226"/>
      <c r="AP22" s="226"/>
      <c r="AQ22" s="226"/>
      <c r="AR22" s="226"/>
    </row>
    <row r="23" spans="2:44">
      <c r="B23" s="215">
        <v>550</v>
      </c>
      <c r="C23" s="216">
        <v>6</v>
      </c>
      <c r="D23" s="217">
        <v>2.8</v>
      </c>
      <c r="E23" s="217">
        <v>3.2</v>
      </c>
      <c r="F23" s="217">
        <v>3.6</v>
      </c>
      <c r="G23" s="217">
        <v>3.9</v>
      </c>
      <c r="H23" s="217">
        <v>4.3</v>
      </c>
      <c r="I23" s="217">
        <v>5</v>
      </c>
      <c r="J23" s="217">
        <v>5.7</v>
      </c>
      <c r="K23" s="217">
        <v>6.4</v>
      </c>
      <c r="L23" s="217">
        <v>7.1</v>
      </c>
      <c r="M23" s="217">
        <v>8.5</v>
      </c>
      <c r="N23" s="217">
        <v>10.7</v>
      </c>
      <c r="O23" s="217">
        <v>12.8</v>
      </c>
      <c r="R23" s="218">
        <v>22</v>
      </c>
      <c r="S23" s="218">
        <v>1.1599999999999999</v>
      </c>
      <c r="U23" s="208">
        <f t="shared" si="0"/>
        <v>750</v>
      </c>
      <c r="V23" s="209">
        <f t="shared" si="1"/>
        <v>270</v>
      </c>
      <c r="W23" s="210">
        <v>26</v>
      </c>
      <c r="Y23" s="134">
        <f>Y19*Y22</f>
        <v>0</v>
      </c>
      <c r="Z23" s="134">
        <f>Z19*Z22</f>
        <v>0</v>
      </c>
      <c r="AA23" s="134"/>
    </row>
    <row r="24" spans="2:44">
      <c r="B24" s="215">
        <v>600</v>
      </c>
      <c r="C24" s="216">
        <v>7</v>
      </c>
      <c r="D24" s="217">
        <v>3.1</v>
      </c>
      <c r="E24" s="217">
        <v>3.5</v>
      </c>
      <c r="F24" s="217">
        <v>3.9</v>
      </c>
      <c r="G24" s="217">
        <v>4.3</v>
      </c>
      <c r="H24" s="217">
        <v>4.7</v>
      </c>
      <c r="I24" s="217">
        <v>5.4</v>
      </c>
      <c r="J24" s="217">
        <v>6.2</v>
      </c>
      <c r="K24" s="217">
        <v>7</v>
      </c>
      <c r="L24" s="217">
        <v>7.8</v>
      </c>
      <c r="M24" s="217">
        <v>9.3000000000000007</v>
      </c>
      <c r="N24" s="217">
        <v>11.6</v>
      </c>
      <c r="O24" s="217">
        <v>14</v>
      </c>
      <c r="R24" s="218">
        <v>23</v>
      </c>
      <c r="S24" s="218">
        <v>1.21</v>
      </c>
      <c r="U24" s="208">
        <f t="shared" si="0"/>
        <v>800</v>
      </c>
      <c r="V24" s="209">
        <f t="shared" si="1"/>
        <v>280</v>
      </c>
      <c r="W24" s="210">
        <v>29</v>
      </c>
      <c r="Y24" s="134">
        <f>VLOOKUP(Z20,C17:O33,Y20+1)</f>
        <v>6.2</v>
      </c>
      <c r="Z24" s="134">
        <f>SUM(Y23:Z23)</f>
        <v>0</v>
      </c>
      <c r="AA24" s="134">
        <f>VLOOKUP(AA16,Таб_МножФ,2)</f>
        <v>0.84</v>
      </c>
    </row>
    <row r="25" spans="2:44">
      <c r="B25" s="215">
        <v>650</v>
      </c>
      <c r="C25" s="216">
        <v>8</v>
      </c>
      <c r="D25" s="217">
        <v>3.4</v>
      </c>
      <c r="E25" s="217">
        <v>3.8</v>
      </c>
      <c r="F25" s="217">
        <v>4.2</v>
      </c>
      <c r="G25" s="217">
        <v>4.5999999999999996</v>
      </c>
      <c r="H25" s="217">
        <v>5</v>
      </c>
      <c r="I25" s="217">
        <v>5.9</v>
      </c>
      <c r="J25" s="217">
        <v>6.7</v>
      </c>
      <c r="K25" s="217">
        <v>7.6</v>
      </c>
      <c r="L25" s="217">
        <v>8.4</v>
      </c>
      <c r="M25" s="217">
        <v>10.1</v>
      </c>
      <c r="N25" s="217">
        <v>12.6</v>
      </c>
      <c r="O25" s="217">
        <v>15.1</v>
      </c>
      <c r="R25" s="218">
        <v>26</v>
      </c>
      <c r="S25" s="218">
        <v>1.37</v>
      </c>
      <c r="U25" s="208">
        <f t="shared" si="0"/>
        <v>850</v>
      </c>
      <c r="V25" s="209">
        <f t="shared" si="1"/>
        <v>290</v>
      </c>
      <c r="W25" s="227"/>
      <c r="Y25" s="131" t="s">
        <v>72</v>
      </c>
      <c r="Z25" s="228">
        <f>SUM(Y24:Z24)</f>
        <v>6.2</v>
      </c>
      <c r="AC25" s="163" t="s">
        <v>199</v>
      </c>
    </row>
    <row r="26" spans="2:44">
      <c r="B26" s="215">
        <v>700</v>
      </c>
      <c r="C26" s="216">
        <v>9</v>
      </c>
      <c r="D26" s="217">
        <v>3.6</v>
      </c>
      <c r="E26" s="217">
        <v>4.0999999999999996</v>
      </c>
      <c r="F26" s="217">
        <v>4.5</v>
      </c>
      <c r="G26" s="217">
        <v>5</v>
      </c>
      <c r="H26" s="217">
        <v>5.4</v>
      </c>
      <c r="I26" s="217">
        <v>6.3</v>
      </c>
      <c r="J26" s="217">
        <v>7.2</v>
      </c>
      <c r="K26" s="217">
        <v>8.1</v>
      </c>
      <c r="L26" s="217">
        <v>9</v>
      </c>
      <c r="M26" s="217">
        <v>10.9</v>
      </c>
      <c r="N26" s="217">
        <v>13.6</v>
      </c>
      <c r="O26" s="217">
        <v>16.3</v>
      </c>
      <c r="R26" s="218">
        <v>29</v>
      </c>
      <c r="S26" s="218">
        <v>1.53</v>
      </c>
      <c r="U26" s="208">
        <f t="shared" si="0"/>
        <v>900</v>
      </c>
      <c r="V26" s="209">
        <v>300</v>
      </c>
      <c r="W26" s="227"/>
      <c r="Y26" s="131" t="s">
        <v>73</v>
      </c>
      <c r="Z26" s="229">
        <f>Z25*AA24</f>
        <v>5.2080000000000002</v>
      </c>
      <c r="AC26" s="163" t="s">
        <v>186</v>
      </c>
    </row>
    <row r="27" spans="2:44">
      <c r="B27" s="215">
        <v>750</v>
      </c>
      <c r="C27" s="216">
        <v>10</v>
      </c>
      <c r="D27" s="217">
        <v>3.9</v>
      </c>
      <c r="E27" s="217">
        <v>4.4000000000000004</v>
      </c>
      <c r="F27" s="217">
        <v>4.8</v>
      </c>
      <c r="G27" s="217">
        <v>5.3</v>
      </c>
      <c r="H27" s="217">
        <v>5.8</v>
      </c>
      <c r="I27" s="217">
        <v>6.8</v>
      </c>
      <c r="J27" s="217">
        <v>7.8</v>
      </c>
      <c r="K27" s="217">
        <v>8.6999999999999993</v>
      </c>
      <c r="L27" s="217">
        <v>9.6999999999999993</v>
      </c>
      <c r="M27" s="217">
        <v>11.6</v>
      </c>
      <c r="N27" s="217">
        <v>14.5</v>
      </c>
      <c r="O27" s="217">
        <v>17.399999999999999</v>
      </c>
      <c r="U27" s="208">
        <f t="shared" si="0"/>
        <v>950</v>
      </c>
      <c r="V27" s="209">
        <f>V26+10</f>
        <v>310</v>
      </c>
      <c r="W27" s="227"/>
    </row>
    <row r="28" spans="2:44">
      <c r="B28" s="215">
        <v>800</v>
      </c>
      <c r="C28" s="216">
        <v>11</v>
      </c>
      <c r="D28" s="217">
        <v>4.0999999999999996</v>
      </c>
      <c r="E28" s="217">
        <v>4.7</v>
      </c>
      <c r="F28" s="217">
        <v>5.2</v>
      </c>
      <c r="G28" s="217">
        <v>5.7</v>
      </c>
      <c r="H28" s="217">
        <v>6.2</v>
      </c>
      <c r="I28" s="217">
        <v>7.2</v>
      </c>
      <c r="J28" s="217">
        <v>8.3000000000000007</v>
      </c>
      <c r="K28" s="217">
        <v>9.3000000000000007</v>
      </c>
      <c r="L28" s="217">
        <v>10.3</v>
      </c>
      <c r="M28" s="217">
        <v>12.4</v>
      </c>
      <c r="N28" s="217">
        <v>15.5</v>
      </c>
      <c r="O28" s="217">
        <v>18.600000000000001</v>
      </c>
      <c r="U28" s="208">
        <f t="shared" si="0"/>
        <v>1000</v>
      </c>
      <c r="V28" s="209">
        <f t="shared" ref="V28:V91" si="4">V27+10</f>
        <v>320</v>
      </c>
      <c r="W28" s="227"/>
      <c r="Y28" s="9" t="s">
        <v>76</v>
      </c>
      <c r="AC28" s="163">
        <v>75</v>
      </c>
    </row>
    <row r="29" spans="2:44">
      <c r="B29" s="215">
        <v>850</v>
      </c>
      <c r="C29" s="216">
        <v>12</v>
      </c>
      <c r="D29" s="217">
        <v>4.4000000000000004</v>
      </c>
      <c r="E29" s="217">
        <v>4.9000000000000004</v>
      </c>
      <c r="F29" s="217">
        <v>5.5</v>
      </c>
      <c r="G29" s="217">
        <v>6</v>
      </c>
      <c r="H29" s="217">
        <v>6.6</v>
      </c>
      <c r="I29" s="217">
        <v>7.7</v>
      </c>
      <c r="J29" s="217">
        <v>8.8000000000000007</v>
      </c>
      <c r="K29" s="217">
        <v>9.9</v>
      </c>
      <c r="L29" s="217">
        <v>11</v>
      </c>
      <c r="M29" s="217">
        <v>13.2</v>
      </c>
      <c r="N29" s="217">
        <v>16.5</v>
      </c>
      <c r="O29" s="217">
        <v>19.8</v>
      </c>
      <c r="U29" s="208">
        <f t="shared" si="0"/>
        <v>1050</v>
      </c>
      <c r="V29" s="209">
        <f t="shared" si="4"/>
        <v>330</v>
      </c>
      <c r="W29" s="227"/>
      <c r="Y29" s="4" t="s">
        <v>69</v>
      </c>
      <c r="Z29" s="4" t="s">
        <v>70</v>
      </c>
      <c r="AA29" s="4" t="s">
        <v>71</v>
      </c>
      <c r="AC29" s="230">
        <v>90</v>
      </c>
    </row>
    <row r="30" spans="2:44">
      <c r="B30" s="215">
        <v>900</v>
      </c>
      <c r="C30" s="216">
        <v>13</v>
      </c>
      <c r="D30" s="217">
        <v>4.7</v>
      </c>
      <c r="E30" s="217">
        <v>5.2</v>
      </c>
      <c r="F30" s="217">
        <v>5.8</v>
      </c>
      <c r="G30" s="217">
        <v>6.4</v>
      </c>
      <c r="H30" s="217">
        <v>7</v>
      </c>
      <c r="I30" s="217">
        <v>8.1</v>
      </c>
      <c r="J30" s="217">
        <v>9.3000000000000007</v>
      </c>
      <c r="K30" s="217">
        <v>10.5</v>
      </c>
      <c r="L30" s="217">
        <v>11.6</v>
      </c>
      <c r="M30" s="217">
        <v>14</v>
      </c>
      <c r="N30" s="217">
        <v>17.399999999999999</v>
      </c>
      <c r="O30" s="217">
        <v>20.9</v>
      </c>
      <c r="U30" s="208">
        <f t="shared" si="0"/>
        <v>1100</v>
      </c>
      <c r="V30" s="209">
        <f t="shared" si="4"/>
        <v>340</v>
      </c>
      <c r="W30" s="227"/>
      <c r="Y30" s="134">
        <f>'Free-Серия'!I3</f>
        <v>600</v>
      </c>
      <c r="Z30" s="134">
        <f>'Free-Серия'!I5</f>
        <v>800</v>
      </c>
      <c r="AA30" s="134">
        <f>'Free-Серия'!M3</f>
        <v>16</v>
      </c>
      <c r="AC30" s="163">
        <v>110</v>
      </c>
    </row>
    <row r="31" spans="2:44">
      <c r="B31" s="215">
        <v>950</v>
      </c>
      <c r="C31" s="216">
        <v>14</v>
      </c>
      <c r="D31" s="217">
        <v>4.9000000000000004</v>
      </c>
      <c r="E31" s="217">
        <v>5.5</v>
      </c>
      <c r="F31" s="217">
        <v>6.1</v>
      </c>
      <c r="G31" s="217">
        <v>6.8</v>
      </c>
      <c r="H31" s="217">
        <v>7.4</v>
      </c>
      <c r="I31" s="217">
        <v>8.6</v>
      </c>
      <c r="J31" s="217">
        <v>9.8000000000000007</v>
      </c>
      <c r="K31" s="217">
        <v>11</v>
      </c>
      <c r="L31" s="217">
        <v>12.3</v>
      </c>
      <c r="M31" s="217">
        <v>14.7</v>
      </c>
      <c r="N31" s="217">
        <v>18.399999999999999</v>
      </c>
      <c r="O31" s="217">
        <v>22.1</v>
      </c>
      <c r="U31" s="208">
        <f t="shared" si="0"/>
        <v>1150</v>
      </c>
      <c r="V31" s="209">
        <f t="shared" si="4"/>
        <v>350</v>
      </c>
      <c r="W31" s="227"/>
      <c r="Y31" s="134">
        <f>INT(Y30/50)*50</f>
        <v>600</v>
      </c>
      <c r="Z31" s="134">
        <f>INT(Z30/50)*50</f>
        <v>800</v>
      </c>
      <c r="AA31" s="134"/>
    </row>
    <row r="32" spans="2:44">
      <c r="B32" s="215">
        <v>1000</v>
      </c>
      <c r="C32" s="216">
        <v>15</v>
      </c>
      <c r="D32" s="217">
        <v>5.2</v>
      </c>
      <c r="E32" s="217">
        <v>5.8</v>
      </c>
      <c r="F32" s="217">
        <v>6.5</v>
      </c>
      <c r="G32" s="217">
        <v>7.1</v>
      </c>
      <c r="H32" s="217">
        <v>7.8</v>
      </c>
      <c r="I32" s="217">
        <v>9</v>
      </c>
      <c r="J32" s="217">
        <v>10.3</v>
      </c>
      <c r="K32" s="217">
        <v>11.6</v>
      </c>
      <c r="L32" s="217">
        <v>12.9</v>
      </c>
      <c r="M32" s="217">
        <v>15.5</v>
      </c>
      <c r="N32" s="217">
        <v>19.399999999999999</v>
      </c>
      <c r="O32" s="217">
        <v>23.3</v>
      </c>
      <c r="U32" s="208">
        <f t="shared" si="0"/>
        <v>1200</v>
      </c>
      <c r="V32" s="209">
        <f t="shared" si="4"/>
        <v>360</v>
      </c>
      <c r="W32" s="227"/>
      <c r="Y32" s="134">
        <f>Y30-Y31</f>
        <v>0</v>
      </c>
      <c r="Z32" s="134">
        <f>Z30-Z31</f>
        <v>0</v>
      </c>
      <c r="AA32" s="134"/>
      <c r="AC32" s="163" t="s">
        <v>197</v>
      </c>
    </row>
    <row r="33" spans="2:29">
      <c r="B33" s="215">
        <v>1040</v>
      </c>
      <c r="C33" s="216">
        <v>16</v>
      </c>
      <c r="D33" s="217">
        <v>5.4</v>
      </c>
      <c r="E33" s="217">
        <v>6</v>
      </c>
      <c r="F33" s="217">
        <v>6.7</v>
      </c>
      <c r="G33" s="217">
        <v>7.4</v>
      </c>
      <c r="H33" s="217">
        <v>8.1</v>
      </c>
      <c r="I33" s="217">
        <v>9.4</v>
      </c>
      <c r="J33" s="217">
        <v>10.7</v>
      </c>
      <c r="K33" s="217">
        <v>12.1</v>
      </c>
      <c r="L33" s="217">
        <v>13.4</v>
      </c>
      <c r="M33" s="217">
        <v>16.100000000000001</v>
      </c>
      <c r="N33" s="217">
        <v>20.2</v>
      </c>
      <c r="O33" s="217">
        <v>24.2</v>
      </c>
      <c r="U33" s="208">
        <f t="shared" si="0"/>
        <v>1250</v>
      </c>
      <c r="V33" s="209">
        <f t="shared" si="4"/>
        <v>370</v>
      </c>
      <c r="W33" s="227"/>
      <c r="Y33" s="231">
        <f>Y32/50</f>
        <v>0</v>
      </c>
      <c r="Z33" s="231">
        <f>Z32/50</f>
        <v>0</v>
      </c>
      <c r="AA33" s="134"/>
      <c r="AC33" s="163" t="s">
        <v>198</v>
      </c>
    </row>
    <row r="34" spans="2:29">
      <c r="B34" s="232"/>
      <c r="C34" s="232"/>
      <c r="D34" s="232"/>
      <c r="E34" s="232"/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U34" s="208">
        <f t="shared" si="0"/>
        <v>1300</v>
      </c>
      <c r="V34" s="209">
        <f t="shared" si="4"/>
        <v>380</v>
      </c>
      <c r="W34" s="227"/>
      <c r="Y34" s="222">
        <f>MATCH(Y30,ШиринаФТаб_Алм,3)</f>
        <v>5</v>
      </c>
      <c r="Z34" s="222">
        <f>MATCH(Z30,ВысотаФТаб_Алм,3)</f>
        <v>11</v>
      </c>
      <c r="AA34" s="134"/>
    </row>
    <row r="35" spans="2:29">
      <c r="B35" s="444" t="s">
        <v>65</v>
      </c>
      <c r="C35" s="444"/>
      <c r="D35" s="445"/>
      <c r="E35" s="445"/>
      <c r="F35" s="445"/>
      <c r="G35" s="445"/>
      <c r="H35" s="445"/>
      <c r="I35" s="445"/>
      <c r="J35" s="445"/>
      <c r="K35" s="445"/>
      <c r="L35" s="445"/>
      <c r="M35" s="445"/>
      <c r="N35" s="445"/>
      <c r="O35" s="446"/>
      <c r="P35" s="233"/>
      <c r="U35" s="208">
        <f t="shared" si="0"/>
        <v>1350</v>
      </c>
      <c r="V35" s="209">
        <f t="shared" si="4"/>
        <v>390</v>
      </c>
      <c r="W35" s="227"/>
      <c r="Y35" s="231">
        <f>VLOOKUP(Z34,Алм_ТабФ,Y34+1+1)</f>
        <v>6.6</v>
      </c>
      <c r="Z35" s="234">
        <f>VLOOKUP(Z34+1,Алм_ТабФ,Y34+1)</f>
        <v>6.1</v>
      </c>
      <c r="AA35" s="134"/>
      <c r="AC35" s="163" t="s">
        <v>6</v>
      </c>
    </row>
    <row r="36" spans="2:29" ht="15.75">
      <c r="B36" s="447" t="s">
        <v>63</v>
      </c>
      <c r="C36" s="235"/>
      <c r="D36" s="449" t="s">
        <v>64</v>
      </c>
      <c r="E36" s="449"/>
      <c r="F36" s="449"/>
      <c r="G36" s="449"/>
      <c r="H36" s="449"/>
      <c r="I36" s="449"/>
      <c r="J36" s="449"/>
      <c r="K36" s="449"/>
      <c r="L36" s="449"/>
      <c r="M36" s="449"/>
      <c r="N36" s="449"/>
      <c r="O36" s="449"/>
      <c r="P36" s="233"/>
      <c r="U36" s="208">
        <f t="shared" si="0"/>
        <v>1400</v>
      </c>
      <c r="V36" s="209">
        <f t="shared" si="4"/>
        <v>400</v>
      </c>
      <c r="W36" s="227"/>
      <c r="Y36" s="134">
        <f>Y35-Y38</f>
        <v>0.89999999999999947</v>
      </c>
      <c r="Z36" s="134">
        <f>Z35-Y38</f>
        <v>0.39999999999999947</v>
      </c>
      <c r="AA36" s="134"/>
    </row>
    <row r="37" spans="2:29">
      <c r="B37" s="448"/>
      <c r="C37" s="236"/>
      <c r="D37" s="233">
        <v>400</v>
      </c>
      <c r="E37" s="233">
        <v>450</v>
      </c>
      <c r="F37" s="233">
        <v>500</v>
      </c>
      <c r="G37" s="233">
        <v>550</v>
      </c>
      <c r="H37" s="233">
        <v>600</v>
      </c>
      <c r="I37" s="233">
        <v>700</v>
      </c>
      <c r="J37" s="233">
        <v>800</v>
      </c>
      <c r="K37" s="233">
        <v>900</v>
      </c>
      <c r="L37" s="233">
        <v>1000</v>
      </c>
      <c r="M37" s="233">
        <v>1200</v>
      </c>
      <c r="N37" s="233">
        <v>1500</v>
      </c>
      <c r="O37" s="233">
        <v>1800</v>
      </c>
      <c r="P37" s="233">
        <v>1800</v>
      </c>
      <c r="U37" s="208">
        <f t="shared" si="0"/>
        <v>1450</v>
      </c>
      <c r="V37" s="209">
        <f t="shared" si="4"/>
        <v>410</v>
      </c>
      <c r="W37" s="227"/>
      <c r="Y37" s="134">
        <f>Y33*Y36</f>
        <v>0</v>
      </c>
      <c r="Z37" s="134">
        <f>Z33*Z36</f>
        <v>0</v>
      </c>
      <c r="AA37" s="134"/>
      <c r="AC37" s="237">
        <v>1200</v>
      </c>
    </row>
    <row r="38" spans="2:29">
      <c r="B38" s="238"/>
      <c r="C38" s="239"/>
      <c r="D38" s="240">
        <v>1</v>
      </c>
      <c r="E38" s="240">
        <v>2</v>
      </c>
      <c r="F38" s="240">
        <v>3</v>
      </c>
      <c r="G38" s="240">
        <v>4</v>
      </c>
      <c r="H38" s="240">
        <v>5</v>
      </c>
      <c r="I38" s="240">
        <v>6</v>
      </c>
      <c r="J38" s="240">
        <v>7</v>
      </c>
      <c r="K38" s="240">
        <v>8</v>
      </c>
      <c r="L38" s="240">
        <v>9</v>
      </c>
      <c r="M38" s="240">
        <v>10</v>
      </c>
      <c r="N38" s="240">
        <v>11</v>
      </c>
      <c r="O38" s="240">
        <v>12</v>
      </c>
      <c r="P38" s="240">
        <v>13</v>
      </c>
      <c r="U38" s="208">
        <f t="shared" si="0"/>
        <v>1500</v>
      </c>
      <c r="V38" s="209">
        <f t="shared" si="4"/>
        <v>420</v>
      </c>
      <c r="W38" s="227"/>
      <c r="Y38" s="134">
        <f>VLOOKUP(Z34,C38:O54,Y34+1)</f>
        <v>5.7</v>
      </c>
      <c r="Z38" s="134">
        <f>SUM(Y37:Z37)</f>
        <v>0</v>
      </c>
      <c r="AA38" s="134">
        <v>1</v>
      </c>
      <c r="AC38" s="237">
        <v>1800</v>
      </c>
    </row>
    <row r="39" spans="2:29">
      <c r="B39" s="241">
        <v>300</v>
      </c>
      <c r="C39" s="239">
        <v>1</v>
      </c>
      <c r="D39" s="242">
        <v>1.6</v>
      </c>
      <c r="E39" s="242">
        <v>1.8</v>
      </c>
      <c r="F39" s="242">
        <v>2</v>
      </c>
      <c r="G39" s="242">
        <v>2.2000000000000002</v>
      </c>
      <c r="H39" s="242">
        <v>2.4</v>
      </c>
      <c r="I39" s="242">
        <v>2.7</v>
      </c>
      <c r="J39" s="242">
        <v>3.1</v>
      </c>
      <c r="K39" s="242">
        <v>3.5</v>
      </c>
      <c r="L39" s="242">
        <v>3.8</v>
      </c>
      <c r="M39" s="242">
        <v>4.5999999999999996</v>
      </c>
      <c r="N39" s="242">
        <v>5.7</v>
      </c>
      <c r="O39" s="242">
        <v>6.8</v>
      </c>
      <c r="P39" s="243">
        <v>6.8</v>
      </c>
      <c r="U39" s="208">
        <f t="shared" si="0"/>
        <v>1550</v>
      </c>
      <c r="V39" s="209">
        <f t="shared" si="4"/>
        <v>430</v>
      </c>
      <c r="W39" s="227"/>
      <c r="Y39" s="131" t="s">
        <v>72</v>
      </c>
      <c r="Z39" s="244">
        <f>SUM(Y38:Z38)</f>
        <v>5.7</v>
      </c>
    </row>
    <row r="40" spans="2:29">
      <c r="B40" s="241">
        <v>350</v>
      </c>
      <c r="C40" s="239">
        <v>2</v>
      </c>
      <c r="D40" s="242">
        <v>1.9</v>
      </c>
      <c r="E40" s="242">
        <v>2.1</v>
      </c>
      <c r="F40" s="242">
        <v>2.2999999999999998</v>
      </c>
      <c r="G40" s="242">
        <v>2.5</v>
      </c>
      <c r="H40" s="242">
        <v>2.7</v>
      </c>
      <c r="I40" s="242">
        <v>3.1</v>
      </c>
      <c r="J40" s="242">
        <v>3.5</v>
      </c>
      <c r="K40" s="242">
        <v>4</v>
      </c>
      <c r="L40" s="242">
        <v>4.4000000000000004</v>
      </c>
      <c r="M40" s="242">
        <v>5.2</v>
      </c>
      <c r="N40" s="242">
        <v>6.5</v>
      </c>
      <c r="O40" s="242">
        <v>7.7</v>
      </c>
      <c r="P40" s="243">
        <v>7.7</v>
      </c>
      <c r="U40" s="208">
        <f t="shared" si="0"/>
        <v>1600</v>
      </c>
      <c r="V40" s="209">
        <f t="shared" si="4"/>
        <v>440</v>
      </c>
      <c r="W40" s="227"/>
      <c r="Y40" s="131" t="s">
        <v>73</v>
      </c>
      <c r="Z40" s="245">
        <f>Z39*AA38</f>
        <v>5.7</v>
      </c>
    </row>
    <row r="41" spans="2:29">
      <c r="B41" s="241">
        <v>400</v>
      </c>
      <c r="C41" s="239">
        <v>3</v>
      </c>
      <c r="D41" s="242">
        <v>2.1</v>
      </c>
      <c r="E41" s="242">
        <v>2.2999999999999998</v>
      </c>
      <c r="F41" s="242">
        <v>2.6</v>
      </c>
      <c r="G41" s="242">
        <v>2.8</v>
      </c>
      <c r="H41" s="242">
        <v>3</v>
      </c>
      <c r="I41" s="242">
        <v>3.5</v>
      </c>
      <c r="J41" s="242">
        <v>4</v>
      </c>
      <c r="K41" s="242">
        <v>4.4000000000000004</v>
      </c>
      <c r="L41" s="242">
        <v>4.9000000000000004</v>
      </c>
      <c r="M41" s="242">
        <v>5.9</v>
      </c>
      <c r="N41" s="242">
        <v>7.3</v>
      </c>
      <c r="O41" s="242">
        <v>8.6999999999999993</v>
      </c>
      <c r="P41" s="243">
        <v>8.6999999999999993</v>
      </c>
      <c r="U41" s="208">
        <f t="shared" si="0"/>
        <v>1650</v>
      </c>
      <c r="V41" s="209">
        <f t="shared" si="4"/>
        <v>450</v>
      </c>
      <c r="W41" s="227"/>
    </row>
    <row r="42" spans="2:29">
      <c r="B42" s="241">
        <v>450</v>
      </c>
      <c r="C42" s="239">
        <v>4</v>
      </c>
      <c r="D42" s="242">
        <v>2.2999999999999998</v>
      </c>
      <c r="E42" s="242">
        <v>2.6</v>
      </c>
      <c r="F42" s="242">
        <v>2.8</v>
      </c>
      <c r="G42" s="242">
        <v>3.1</v>
      </c>
      <c r="H42" s="242">
        <v>3.4</v>
      </c>
      <c r="I42" s="242">
        <v>3.9</v>
      </c>
      <c r="J42" s="242">
        <v>4.4000000000000004</v>
      </c>
      <c r="K42" s="242">
        <v>4.9000000000000004</v>
      </c>
      <c r="L42" s="242">
        <v>5.5</v>
      </c>
      <c r="M42" s="242">
        <v>6.5</v>
      </c>
      <c r="N42" s="242">
        <v>8.1</v>
      </c>
      <c r="O42" s="242">
        <v>9.6</v>
      </c>
      <c r="P42" s="243">
        <v>9.6</v>
      </c>
      <c r="U42" s="208">
        <f t="shared" si="0"/>
        <v>1700</v>
      </c>
      <c r="V42" s="209">
        <f t="shared" si="4"/>
        <v>460</v>
      </c>
      <c r="W42" s="227"/>
      <c r="Y42" s="8"/>
      <c r="Z42" s="8"/>
    </row>
    <row r="43" spans="2:29">
      <c r="B43" s="241">
        <v>500</v>
      </c>
      <c r="C43" s="239">
        <v>5</v>
      </c>
      <c r="D43" s="242">
        <v>2.6</v>
      </c>
      <c r="E43" s="242">
        <v>2.8</v>
      </c>
      <c r="F43" s="242">
        <v>3.1</v>
      </c>
      <c r="G43" s="242">
        <v>3.4</v>
      </c>
      <c r="H43" s="242">
        <v>3.7</v>
      </c>
      <c r="I43" s="242">
        <v>4.3</v>
      </c>
      <c r="J43" s="242">
        <v>4.8</v>
      </c>
      <c r="K43" s="242">
        <v>5.4</v>
      </c>
      <c r="L43" s="242">
        <v>6</v>
      </c>
      <c r="M43" s="242">
        <v>7.1</v>
      </c>
      <c r="N43" s="242">
        <v>8.8000000000000007</v>
      </c>
      <c r="O43" s="242">
        <v>10.6</v>
      </c>
      <c r="P43" s="243">
        <v>10.6</v>
      </c>
      <c r="U43" s="208">
        <f t="shared" si="0"/>
        <v>1750</v>
      </c>
      <c r="V43" s="209">
        <f t="shared" si="4"/>
        <v>470</v>
      </c>
      <c r="W43" s="227"/>
      <c r="Y43" s="8"/>
      <c r="Z43" s="8"/>
    </row>
    <row r="44" spans="2:29">
      <c r="B44" s="241">
        <v>550</v>
      </c>
      <c r="C44" s="239">
        <v>6</v>
      </c>
      <c r="D44" s="242">
        <v>2.8</v>
      </c>
      <c r="E44" s="242">
        <v>3.1</v>
      </c>
      <c r="F44" s="242">
        <v>3.4</v>
      </c>
      <c r="G44" s="242">
        <v>3.7</v>
      </c>
      <c r="H44" s="242">
        <v>4</v>
      </c>
      <c r="I44" s="242">
        <v>4.7</v>
      </c>
      <c r="J44" s="242">
        <v>5.3</v>
      </c>
      <c r="K44" s="242">
        <v>5.9</v>
      </c>
      <c r="L44" s="242">
        <v>6.5</v>
      </c>
      <c r="M44" s="242">
        <v>7.8</v>
      </c>
      <c r="N44" s="242">
        <v>9.6</v>
      </c>
      <c r="O44" s="242">
        <v>11.5</v>
      </c>
      <c r="P44" s="243">
        <v>11.5</v>
      </c>
      <c r="U44" s="208">
        <f t="shared" si="0"/>
        <v>1800</v>
      </c>
      <c r="V44" s="209">
        <f t="shared" si="4"/>
        <v>480</v>
      </c>
      <c r="W44" s="227"/>
      <c r="Y44" s="8"/>
      <c r="Z44" s="8"/>
    </row>
    <row r="45" spans="2:29">
      <c r="B45" s="241">
        <v>600</v>
      </c>
      <c r="C45" s="239">
        <v>7</v>
      </c>
      <c r="D45" s="242">
        <v>3</v>
      </c>
      <c r="E45" s="242">
        <v>3.4</v>
      </c>
      <c r="F45" s="242">
        <v>3.7</v>
      </c>
      <c r="G45" s="242">
        <v>4</v>
      </c>
      <c r="H45" s="242">
        <v>4.4000000000000004</v>
      </c>
      <c r="I45" s="242">
        <v>5</v>
      </c>
      <c r="J45" s="242">
        <v>5.7</v>
      </c>
      <c r="K45" s="242">
        <v>6.4</v>
      </c>
      <c r="L45" s="242">
        <v>7.1</v>
      </c>
      <c r="M45" s="242">
        <v>8.4</v>
      </c>
      <c r="N45" s="242">
        <v>10.4</v>
      </c>
      <c r="O45" s="242">
        <v>12.4</v>
      </c>
      <c r="P45" s="243">
        <v>12.4</v>
      </c>
      <c r="U45" s="227"/>
      <c r="V45" s="209">
        <f t="shared" si="4"/>
        <v>490</v>
      </c>
      <c r="W45" s="227"/>
      <c r="Y45" s="8"/>
      <c r="Z45" s="8"/>
    </row>
    <row r="46" spans="2:29">
      <c r="B46" s="241">
        <v>650</v>
      </c>
      <c r="C46" s="239">
        <v>8</v>
      </c>
      <c r="D46" s="242">
        <v>3.3</v>
      </c>
      <c r="E46" s="242">
        <v>3.6</v>
      </c>
      <c r="F46" s="242">
        <v>4</v>
      </c>
      <c r="G46" s="242">
        <v>4.3</v>
      </c>
      <c r="H46" s="242">
        <v>4.7</v>
      </c>
      <c r="I46" s="242">
        <v>5.4</v>
      </c>
      <c r="J46" s="242">
        <v>6.2</v>
      </c>
      <c r="K46" s="242">
        <v>6.9</v>
      </c>
      <c r="L46" s="242">
        <v>7.6</v>
      </c>
      <c r="M46" s="242">
        <v>9</v>
      </c>
      <c r="N46" s="242">
        <v>12.2</v>
      </c>
      <c r="O46" s="242">
        <v>13.4</v>
      </c>
      <c r="P46" s="243">
        <v>13.4</v>
      </c>
      <c r="R46" s="246"/>
      <c r="U46" s="227"/>
      <c r="V46" s="209">
        <f t="shared" si="4"/>
        <v>500</v>
      </c>
      <c r="W46" s="227"/>
      <c r="Y46" s="8"/>
      <c r="Z46" s="8"/>
      <c r="AC46" s="8"/>
    </row>
    <row r="47" spans="2:29">
      <c r="B47" s="241">
        <v>700</v>
      </c>
      <c r="C47" s="239">
        <v>9</v>
      </c>
      <c r="D47" s="242">
        <v>3.5</v>
      </c>
      <c r="E47" s="242">
        <v>3.9</v>
      </c>
      <c r="F47" s="242">
        <v>4.3</v>
      </c>
      <c r="G47" s="242">
        <v>4.7</v>
      </c>
      <c r="H47" s="242">
        <v>5</v>
      </c>
      <c r="I47" s="242">
        <v>5.8</v>
      </c>
      <c r="J47" s="242">
        <v>6.6</v>
      </c>
      <c r="K47" s="242">
        <v>7.4</v>
      </c>
      <c r="L47" s="242">
        <v>8.1</v>
      </c>
      <c r="M47" s="242">
        <v>9.6999999999999993</v>
      </c>
      <c r="N47" s="242">
        <v>12</v>
      </c>
      <c r="O47" s="242">
        <v>14.3</v>
      </c>
      <c r="P47" s="243">
        <v>14.3</v>
      </c>
      <c r="R47" s="153"/>
      <c r="U47" s="227"/>
      <c r="V47" s="209">
        <f t="shared" si="4"/>
        <v>510</v>
      </c>
      <c r="W47" s="227"/>
      <c r="AC47" s="8"/>
    </row>
    <row r="48" spans="2:29">
      <c r="B48" s="241">
        <v>750</v>
      </c>
      <c r="C48" s="239">
        <v>10</v>
      </c>
      <c r="D48" s="242">
        <v>3.7</v>
      </c>
      <c r="E48" s="242">
        <v>4.0999999999999996</v>
      </c>
      <c r="F48" s="242">
        <v>4.5999999999999996</v>
      </c>
      <c r="G48" s="242">
        <v>5</v>
      </c>
      <c r="H48" s="242">
        <v>5.4</v>
      </c>
      <c r="I48" s="242">
        <v>6.2</v>
      </c>
      <c r="J48" s="242">
        <v>7</v>
      </c>
      <c r="K48" s="242">
        <v>7.8</v>
      </c>
      <c r="L48" s="242">
        <v>8.6999999999999993</v>
      </c>
      <c r="M48" s="242">
        <v>10.3</v>
      </c>
      <c r="N48" s="242">
        <v>12.8</v>
      </c>
      <c r="O48" s="242">
        <v>15.2</v>
      </c>
      <c r="P48" s="243">
        <v>15.2</v>
      </c>
      <c r="R48" s="246"/>
      <c r="U48" s="227"/>
      <c r="V48" s="209">
        <f t="shared" si="4"/>
        <v>520</v>
      </c>
      <c r="W48" s="227"/>
      <c r="AC48" s="8"/>
    </row>
    <row r="49" spans="2:23">
      <c r="B49" s="241">
        <v>800</v>
      </c>
      <c r="C49" s="239">
        <v>11</v>
      </c>
      <c r="D49" s="242">
        <v>4</v>
      </c>
      <c r="E49" s="242">
        <v>4.4000000000000004</v>
      </c>
      <c r="F49" s="242">
        <v>4.8</v>
      </c>
      <c r="G49" s="242">
        <v>5.3</v>
      </c>
      <c r="H49" s="242">
        <v>5.7</v>
      </c>
      <c r="I49" s="242">
        <v>6.6</v>
      </c>
      <c r="J49" s="242">
        <v>7.5</v>
      </c>
      <c r="K49" s="242">
        <v>8.3000000000000007</v>
      </c>
      <c r="L49" s="242">
        <v>9.1999999999999993</v>
      </c>
      <c r="M49" s="242">
        <v>10.9</v>
      </c>
      <c r="N49" s="242">
        <v>13.6</v>
      </c>
      <c r="O49" s="242">
        <v>16.2</v>
      </c>
      <c r="P49" s="243">
        <v>16.2</v>
      </c>
      <c r="U49" s="227"/>
      <c r="V49" s="209">
        <f t="shared" si="4"/>
        <v>530</v>
      </c>
      <c r="W49" s="227"/>
    </row>
    <row r="50" spans="2:23">
      <c r="B50" s="241">
        <v>850</v>
      </c>
      <c r="C50" s="239">
        <v>12</v>
      </c>
      <c r="D50" s="242">
        <v>4.2</v>
      </c>
      <c r="E50" s="242">
        <v>4.7</v>
      </c>
      <c r="F50" s="242">
        <v>5.0999999999999996</v>
      </c>
      <c r="G50" s="242">
        <v>5.6</v>
      </c>
      <c r="H50" s="242">
        <v>6.1</v>
      </c>
      <c r="I50" s="242">
        <v>7</v>
      </c>
      <c r="J50" s="242">
        <v>7.9</v>
      </c>
      <c r="K50" s="242">
        <v>8.8000000000000007</v>
      </c>
      <c r="L50" s="242">
        <v>9.6999999999999993</v>
      </c>
      <c r="M50" s="242">
        <v>11.6</v>
      </c>
      <c r="N50" s="242">
        <v>14.3</v>
      </c>
      <c r="O50" s="242">
        <v>17.100000000000001</v>
      </c>
      <c r="P50" s="243">
        <v>17.100000000000001</v>
      </c>
      <c r="U50" s="227"/>
      <c r="V50" s="209">
        <f t="shared" si="4"/>
        <v>540</v>
      </c>
      <c r="W50" s="227"/>
    </row>
    <row r="51" spans="2:23">
      <c r="B51" s="241">
        <v>900</v>
      </c>
      <c r="C51" s="239">
        <v>13</v>
      </c>
      <c r="D51" s="242">
        <v>4.4000000000000004</v>
      </c>
      <c r="E51" s="242">
        <v>4.9000000000000004</v>
      </c>
      <c r="F51" s="242">
        <v>5.4</v>
      </c>
      <c r="G51" s="242">
        <v>5.9</v>
      </c>
      <c r="H51" s="242">
        <v>6.4</v>
      </c>
      <c r="I51" s="242">
        <v>7.4</v>
      </c>
      <c r="J51" s="242">
        <v>8.3000000000000007</v>
      </c>
      <c r="K51" s="242">
        <v>9.3000000000000007</v>
      </c>
      <c r="L51" s="242">
        <v>10.3</v>
      </c>
      <c r="M51" s="242">
        <v>12.2</v>
      </c>
      <c r="N51" s="242">
        <v>15.1</v>
      </c>
      <c r="O51" s="242">
        <v>18</v>
      </c>
      <c r="P51" s="243">
        <v>18</v>
      </c>
      <c r="U51" s="227"/>
      <c r="V51" s="209">
        <f t="shared" si="4"/>
        <v>550</v>
      </c>
      <c r="W51" s="227"/>
    </row>
    <row r="52" spans="2:23">
      <c r="B52" s="241">
        <v>950</v>
      </c>
      <c r="C52" s="239">
        <v>14</v>
      </c>
      <c r="D52" s="242">
        <v>4.7</v>
      </c>
      <c r="E52" s="242">
        <v>5.2</v>
      </c>
      <c r="F52" s="242">
        <v>5.7</v>
      </c>
      <c r="G52" s="242">
        <v>6.2</v>
      </c>
      <c r="H52" s="242">
        <v>6.7</v>
      </c>
      <c r="I52" s="242">
        <v>7.7</v>
      </c>
      <c r="J52" s="242">
        <v>8.8000000000000007</v>
      </c>
      <c r="K52" s="242">
        <v>9.8000000000000007</v>
      </c>
      <c r="L52" s="242">
        <v>10.8</v>
      </c>
      <c r="M52" s="242">
        <v>12.8</v>
      </c>
      <c r="N52" s="242">
        <v>15.9</v>
      </c>
      <c r="O52" s="242">
        <v>19</v>
      </c>
      <c r="P52" s="243">
        <v>19</v>
      </c>
      <c r="U52" s="227"/>
      <c r="V52" s="209">
        <f t="shared" si="4"/>
        <v>560</v>
      </c>
      <c r="W52" s="227"/>
    </row>
    <row r="53" spans="2:23">
      <c r="B53" s="241">
        <v>1000</v>
      </c>
      <c r="C53" s="239">
        <v>15</v>
      </c>
      <c r="D53" s="242">
        <v>4.9000000000000004</v>
      </c>
      <c r="E53" s="242">
        <v>5.5</v>
      </c>
      <c r="F53" s="242">
        <v>6</v>
      </c>
      <c r="G53" s="242">
        <v>6.5</v>
      </c>
      <c r="H53" s="242">
        <v>7.1</v>
      </c>
      <c r="I53" s="242">
        <v>8.1</v>
      </c>
      <c r="J53" s="242">
        <v>9.1999999999999993</v>
      </c>
      <c r="K53" s="242">
        <v>10.3</v>
      </c>
      <c r="L53" s="242">
        <v>11.3</v>
      </c>
      <c r="M53" s="242">
        <v>13.5</v>
      </c>
      <c r="N53" s="242">
        <v>16.7</v>
      </c>
      <c r="O53" s="242">
        <v>19.899999999999999</v>
      </c>
      <c r="P53" s="243">
        <v>19.899999999999999</v>
      </c>
      <c r="U53" s="227"/>
      <c r="V53" s="209">
        <f t="shared" si="4"/>
        <v>570</v>
      </c>
      <c r="W53" s="227"/>
    </row>
    <row r="54" spans="2:23">
      <c r="B54" s="241">
        <v>1040</v>
      </c>
      <c r="C54" s="239">
        <v>16</v>
      </c>
      <c r="D54" s="242">
        <v>5.0999999999999996</v>
      </c>
      <c r="E54" s="242">
        <v>5.7</v>
      </c>
      <c r="F54" s="242">
        <v>6.2</v>
      </c>
      <c r="G54" s="242">
        <v>6.8</v>
      </c>
      <c r="H54" s="242">
        <v>7.3</v>
      </c>
      <c r="I54" s="242">
        <v>8.4</v>
      </c>
      <c r="J54" s="242">
        <v>9.5</v>
      </c>
      <c r="K54" s="242">
        <v>10.7</v>
      </c>
      <c r="L54" s="242">
        <v>11.8</v>
      </c>
      <c r="M54" s="242">
        <v>14</v>
      </c>
      <c r="N54" s="242">
        <v>17.3</v>
      </c>
      <c r="O54" s="242">
        <v>20.7</v>
      </c>
      <c r="P54" s="243">
        <v>20.7</v>
      </c>
      <c r="U54" s="227"/>
      <c r="V54" s="209">
        <f t="shared" si="4"/>
        <v>580</v>
      </c>
      <c r="W54" s="227"/>
    </row>
    <row r="55" spans="2:23">
      <c r="B55" s="241">
        <v>1040</v>
      </c>
      <c r="C55" s="239">
        <v>17</v>
      </c>
      <c r="D55" s="243">
        <v>5.0999999999999996</v>
      </c>
      <c r="E55" s="243">
        <v>5.7</v>
      </c>
      <c r="F55" s="243">
        <v>6.2</v>
      </c>
      <c r="G55" s="243">
        <v>6.8</v>
      </c>
      <c r="H55" s="243">
        <v>7.3</v>
      </c>
      <c r="I55" s="243">
        <v>8.4</v>
      </c>
      <c r="J55" s="243">
        <v>9.5</v>
      </c>
      <c r="K55" s="243">
        <v>10.7</v>
      </c>
      <c r="L55" s="243">
        <v>11.8</v>
      </c>
      <c r="M55" s="243">
        <v>14</v>
      </c>
      <c r="N55" s="243">
        <v>17.3</v>
      </c>
      <c r="O55" s="243">
        <v>20.7</v>
      </c>
      <c r="P55" s="243">
        <v>20.7</v>
      </c>
      <c r="Q55" s="246"/>
      <c r="U55" s="227"/>
      <c r="V55" s="209">
        <f t="shared" si="4"/>
        <v>590</v>
      </c>
      <c r="W55" s="227"/>
    </row>
    <row r="56" spans="2:23">
      <c r="U56" s="227"/>
      <c r="V56" s="209">
        <f t="shared" si="4"/>
        <v>600</v>
      </c>
      <c r="W56" s="227"/>
    </row>
    <row r="57" spans="2:23">
      <c r="B57" s="440"/>
      <c r="C57" s="440"/>
      <c r="D57" s="441"/>
      <c r="E57" s="441"/>
      <c r="F57" s="441"/>
      <c r="G57" s="441"/>
      <c r="H57" s="441"/>
      <c r="I57" s="441"/>
      <c r="J57" s="441"/>
      <c r="K57" s="441"/>
      <c r="L57" s="441"/>
      <c r="M57" s="441"/>
      <c r="N57" s="441"/>
      <c r="O57" s="442"/>
      <c r="U57" s="227"/>
      <c r="V57" s="209">
        <f t="shared" si="4"/>
        <v>610</v>
      </c>
      <c r="W57" s="227"/>
    </row>
    <row r="58" spans="2:23" ht="33.75">
      <c r="B58" s="203" t="s">
        <v>63</v>
      </c>
      <c r="C58" s="203"/>
      <c r="D58" s="443" t="s">
        <v>64</v>
      </c>
      <c r="E58" s="443"/>
      <c r="F58" s="443"/>
      <c r="G58" s="443"/>
      <c r="H58" s="443"/>
      <c r="I58" s="443"/>
      <c r="J58" s="443"/>
      <c r="K58" s="443"/>
      <c r="L58" s="443"/>
      <c r="M58" s="443"/>
      <c r="N58" s="443"/>
      <c r="O58" s="443"/>
      <c r="U58" s="227"/>
      <c r="V58" s="209">
        <f t="shared" si="4"/>
        <v>620</v>
      </c>
      <c r="W58" s="227"/>
    </row>
    <row r="59" spans="2:23">
      <c r="B59" s="206"/>
      <c r="C59" s="206"/>
      <c r="D59" s="207">
        <v>400</v>
      </c>
      <c r="E59" s="207">
        <v>450</v>
      </c>
      <c r="F59" s="207">
        <v>500</v>
      </c>
      <c r="G59" s="207">
        <v>550</v>
      </c>
      <c r="H59" s="207">
        <v>600</v>
      </c>
      <c r="I59" s="207">
        <v>700</v>
      </c>
      <c r="J59" s="207">
        <v>800</v>
      </c>
      <c r="K59" s="207">
        <v>900</v>
      </c>
      <c r="L59" s="207">
        <v>1000</v>
      </c>
      <c r="M59" s="207">
        <v>1200</v>
      </c>
      <c r="N59" s="207">
        <v>1500</v>
      </c>
      <c r="O59" s="207">
        <v>1800</v>
      </c>
      <c r="U59" s="227"/>
      <c r="V59" s="209">
        <f t="shared" si="4"/>
        <v>630</v>
      </c>
      <c r="W59" s="227"/>
    </row>
    <row r="60" spans="2:23">
      <c r="B60" s="206"/>
      <c r="C60" s="286">
        <v>0</v>
      </c>
      <c r="D60" s="212">
        <v>1</v>
      </c>
      <c r="E60" s="212">
        <v>2</v>
      </c>
      <c r="F60" s="212">
        <v>3</v>
      </c>
      <c r="G60" s="212">
        <v>4</v>
      </c>
      <c r="H60" s="212">
        <v>5</v>
      </c>
      <c r="I60" s="212">
        <v>6</v>
      </c>
      <c r="J60" s="212">
        <v>7</v>
      </c>
      <c r="K60" s="212">
        <v>8</v>
      </c>
      <c r="L60" s="212">
        <v>9</v>
      </c>
      <c r="M60" s="212">
        <v>10</v>
      </c>
      <c r="N60" s="212">
        <v>11</v>
      </c>
      <c r="O60" s="212">
        <v>12</v>
      </c>
      <c r="U60" s="227"/>
      <c r="V60" s="209">
        <f t="shared" si="4"/>
        <v>640</v>
      </c>
      <c r="W60" s="227"/>
    </row>
    <row r="61" spans="2:23">
      <c r="B61" s="215">
        <v>300</v>
      </c>
      <c r="C61" s="216">
        <v>1</v>
      </c>
      <c r="D61" s="217">
        <v>1.7882352941176471</v>
      </c>
      <c r="E61" s="217">
        <v>1.9</v>
      </c>
      <c r="F61" s="217">
        <v>2.1235294117647059</v>
      </c>
      <c r="G61" s="217">
        <v>2.3470588235294119</v>
      </c>
      <c r="H61" s="217">
        <v>2.5705882352941174</v>
      </c>
      <c r="I61" s="217">
        <v>3.0176470588235298</v>
      </c>
      <c r="J61" s="217">
        <v>3.4647058823529413</v>
      </c>
      <c r="K61" s="217">
        <v>3.9117647058823533</v>
      </c>
      <c r="L61" s="217">
        <v>4.3588235294117643</v>
      </c>
      <c r="M61" s="217">
        <v>5.2529411764705882</v>
      </c>
      <c r="N61" s="217">
        <v>6.4823529411764707</v>
      </c>
      <c r="O61" s="217">
        <v>7.8235294117647065</v>
      </c>
      <c r="U61" s="227"/>
      <c r="V61" s="209">
        <f t="shared" si="4"/>
        <v>650</v>
      </c>
      <c r="W61" s="227"/>
    </row>
    <row r="62" spans="2:23">
      <c r="B62" s="215">
        <v>350</v>
      </c>
      <c r="C62" s="216">
        <v>2</v>
      </c>
      <c r="D62" s="217">
        <v>2.0117647058823529</v>
      </c>
      <c r="E62" s="217">
        <v>2.2352941176470589</v>
      </c>
      <c r="F62" s="217">
        <v>2.5705882352941174</v>
      </c>
      <c r="G62" s="217">
        <v>2.7941176470588234</v>
      </c>
      <c r="H62" s="217">
        <v>3.0176470588235298</v>
      </c>
      <c r="I62" s="217">
        <v>3.5764705882352943</v>
      </c>
      <c r="J62" s="217">
        <v>4.0235294117647058</v>
      </c>
      <c r="K62" s="217">
        <v>4.5823529411764703</v>
      </c>
      <c r="L62" s="217">
        <v>5.0294117647058822</v>
      </c>
      <c r="M62" s="217">
        <v>6.0352941176470596</v>
      </c>
      <c r="N62" s="217">
        <v>7.6</v>
      </c>
      <c r="O62" s="217">
        <v>9.052941176470588</v>
      </c>
      <c r="U62" s="227"/>
      <c r="V62" s="209">
        <f t="shared" si="4"/>
        <v>660</v>
      </c>
      <c r="W62" s="227"/>
    </row>
    <row r="63" spans="2:23">
      <c r="B63" s="215">
        <v>400</v>
      </c>
      <c r="C63" s="216">
        <v>3</v>
      </c>
      <c r="D63" s="217">
        <v>2.3470588235294119</v>
      </c>
      <c r="E63" s="217">
        <v>2.5705882352941174</v>
      </c>
      <c r="F63" s="217">
        <v>2.9058823529411768</v>
      </c>
      <c r="G63" s="217">
        <v>3.1294117647058823</v>
      </c>
      <c r="H63" s="217">
        <v>3.4647058823529413</v>
      </c>
      <c r="I63" s="217">
        <v>4.0235294117647058</v>
      </c>
      <c r="J63" s="217">
        <v>4.5823529411764703</v>
      </c>
      <c r="K63" s="217">
        <v>5.2529411764705882</v>
      </c>
      <c r="L63" s="217">
        <v>5.8117647058823536</v>
      </c>
      <c r="M63" s="217">
        <v>6.9294117647058826</v>
      </c>
      <c r="N63" s="217">
        <v>8.7176470588235286</v>
      </c>
      <c r="O63" s="217">
        <v>10.394117647058824</v>
      </c>
      <c r="U63" s="227"/>
      <c r="V63" s="209">
        <f t="shared" si="4"/>
        <v>670</v>
      </c>
      <c r="W63" s="227"/>
    </row>
    <row r="64" spans="2:23">
      <c r="B64" s="215">
        <v>450</v>
      </c>
      <c r="C64" s="216">
        <v>4</v>
      </c>
      <c r="D64" s="217">
        <v>2.5705882352941174</v>
      </c>
      <c r="E64" s="217">
        <v>2.9058823529411768</v>
      </c>
      <c r="F64" s="217">
        <v>3.2411764705882353</v>
      </c>
      <c r="G64" s="217">
        <v>3.5764705882352943</v>
      </c>
      <c r="H64" s="217">
        <v>3.9117647058823533</v>
      </c>
      <c r="I64" s="217">
        <v>4.5823529411764703</v>
      </c>
      <c r="J64" s="217">
        <v>5.2529411764705882</v>
      </c>
      <c r="K64" s="217">
        <v>5.8117647058823536</v>
      </c>
      <c r="L64" s="217">
        <v>6.4823529411764707</v>
      </c>
      <c r="M64" s="217">
        <v>7.8235294117647065</v>
      </c>
      <c r="N64" s="217">
        <v>9.7235294117647051</v>
      </c>
      <c r="O64" s="217">
        <v>11.73529411764706</v>
      </c>
      <c r="U64" s="227"/>
      <c r="V64" s="209">
        <f t="shared" si="4"/>
        <v>680</v>
      </c>
      <c r="W64" s="227"/>
    </row>
    <row r="65" spans="2:23">
      <c r="B65" s="215">
        <v>500</v>
      </c>
      <c r="C65" s="216">
        <v>5</v>
      </c>
      <c r="D65" s="217">
        <v>2.9058823529411768</v>
      </c>
      <c r="E65" s="217">
        <v>3.2411764705882353</v>
      </c>
      <c r="F65" s="217">
        <v>3.5764705882352943</v>
      </c>
      <c r="G65" s="217">
        <v>4.0235294117647058</v>
      </c>
      <c r="H65" s="217">
        <v>4.3588235294117643</v>
      </c>
      <c r="I65" s="217">
        <v>5.0294117647058822</v>
      </c>
      <c r="J65" s="217">
        <v>5.8117647058823536</v>
      </c>
      <c r="K65" s="217">
        <v>6.4823529411764707</v>
      </c>
      <c r="L65" s="217">
        <v>7.2647058823529411</v>
      </c>
      <c r="M65" s="217">
        <v>8.7176470588235286</v>
      </c>
      <c r="N65" s="217">
        <v>10.841176470588234</v>
      </c>
      <c r="O65" s="217">
        <v>12.964705882352941</v>
      </c>
      <c r="U65" s="227"/>
      <c r="V65" s="209">
        <f t="shared" si="4"/>
        <v>690</v>
      </c>
      <c r="W65" s="227"/>
    </row>
    <row r="66" spans="2:23">
      <c r="B66" s="215">
        <v>550</v>
      </c>
      <c r="C66" s="216">
        <v>6</v>
      </c>
      <c r="D66" s="217">
        <v>3.1294117647058823</v>
      </c>
      <c r="E66" s="217">
        <v>3.5764705882352943</v>
      </c>
      <c r="F66" s="217">
        <v>4.0235294117647058</v>
      </c>
      <c r="G66" s="217">
        <v>4.3588235294117643</v>
      </c>
      <c r="H66" s="217">
        <v>4.8058823529411763</v>
      </c>
      <c r="I66" s="217">
        <v>5.5882352941176467</v>
      </c>
      <c r="J66" s="217">
        <v>6.3705882352941181</v>
      </c>
      <c r="K66" s="217">
        <v>7.1529411764705886</v>
      </c>
      <c r="L66" s="217">
        <v>7.9352941176470591</v>
      </c>
      <c r="M66" s="217">
        <v>9.5</v>
      </c>
      <c r="N66" s="217">
        <v>11.958823529411765</v>
      </c>
      <c r="O66" s="217">
        <v>14.305882352941177</v>
      </c>
      <c r="U66" s="227"/>
      <c r="V66" s="209">
        <f t="shared" si="4"/>
        <v>700</v>
      </c>
      <c r="W66" s="227"/>
    </row>
    <row r="67" spans="2:23">
      <c r="B67" s="215">
        <v>600</v>
      </c>
      <c r="C67" s="216">
        <v>7</v>
      </c>
      <c r="D67" s="217">
        <v>3.4647058823529413</v>
      </c>
      <c r="E67" s="217">
        <v>3.9117647058823533</v>
      </c>
      <c r="F67" s="247">
        <f ca="1">(TODAY()+Цены!Q2)/10000</f>
        <v>4.4720000000000004</v>
      </c>
      <c r="G67" s="217">
        <v>4.8058823529411763</v>
      </c>
      <c r="H67" s="217">
        <v>5.2529411764705882</v>
      </c>
      <c r="I67" s="217">
        <v>6.0352941176470596</v>
      </c>
      <c r="J67" s="217">
        <v>6.9294117647058826</v>
      </c>
      <c r="K67" s="217">
        <v>7.8235294117647065</v>
      </c>
      <c r="L67" s="217">
        <v>8.7176470588235286</v>
      </c>
      <c r="M67" s="217">
        <v>10.394117647058824</v>
      </c>
      <c r="N67" s="217">
        <v>12.964705882352941</v>
      </c>
      <c r="O67" s="217">
        <v>15.647058823529413</v>
      </c>
      <c r="R67" s="285"/>
      <c r="U67" s="227"/>
      <c r="V67" s="209">
        <f t="shared" si="4"/>
        <v>710</v>
      </c>
      <c r="W67" s="227"/>
    </row>
    <row r="68" spans="2:23">
      <c r="B68" s="215">
        <v>650</v>
      </c>
      <c r="C68" s="216">
        <v>8</v>
      </c>
      <c r="D68" s="217">
        <v>3.8</v>
      </c>
      <c r="E68" s="217">
        <v>4.2470588235294118</v>
      </c>
      <c r="F68" s="217">
        <v>4.6941176470588237</v>
      </c>
      <c r="G68" s="217">
        <v>5.1411764705882348</v>
      </c>
      <c r="H68" s="217">
        <v>5.5882352941176467</v>
      </c>
      <c r="I68" s="217">
        <v>6.5941176470588241</v>
      </c>
      <c r="J68" s="217">
        <v>7.4882352941176471</v>
      </c>
      <c r="K68" s="217">
        <v>8.4941176470588236</v>
      </c>
      <c r="L68" s="217">
        <v>9.3882352941176475</v>
      </c>
      <c r="M68" s="217">
        <v>11.288235294117648</v>
      </c>
      <c r="N68" s="217">
        <v>14.08235294117647</v>
      </c>
      <c r="O68" s="217">
        <v>16.876470588235293</v>
      </c>
      <c r="R68" s="147"/>
      <c r="U68" s="227"/>
      <c r="V68" s="209">
        <f t="shared" si="4"/>
        <v>720</v>
      </c>
      <c r="W68" s="227"/>
    </row>
    <row r="69" spans="2:23">
      <c r="B69" s="215">
        <v>700</v>
      </c>
      <c r="C69" s="216">
        <v>9</v>
      </c>
      <c r="D69" s="217">
        <v>4.0235294117647058</v>
      </c>
      <c r="E69" s="217">
        <v>4.5823529411764703</v>
      </c>
      <c r="F69" s="217">
        <v>5.0294117647058822</v>
      </c>
      <c r="G69" s="217">
        <v>5.5882352941176467</v>
      </c>
      <c r="H69" s="217">
        <v>6.0352941176470596</v>
      </c>
      <c r="I69" s="217">
        <v>7.0411764705882351</v>
      </c>
      <c r="J69" s="217">
        <v>8.0470588235294116</v>
      </c>
      <c r="K69" s="217">
        <v>9.052941176470588</v>
      </c>
      <c r="L69" s="217">
        <v>10.058823529411764</v>
      </c>
      <c r="M69" s="217">
        <v>12.182352941176472</v>
      </c>
      <c r="N69" s="217">
        <v>15.2</v>
      </c>
      <c r="O69" s="217">
        <v>18.21764705882353</v>
      </c>
      <c r="R69" s="147"/>
      <c r="U69" s="227"/>
      <c r="V69" s="209">
        <f t="shared" si="4"/>
        <v>730</v>
      </c>
      <c r="W69" s="227"/>
    </row>
    <row r="70" spans="2:23">
      <c r="B70" s="215">
        <v>750</v>
      </c>
      <c r="C70" s="216">
        <v>10</v>
      </c>
      <c r="D70" s="217">
        <v>4.3588235294117643</v>
      </c>
      <c r="E70" s="217">
        <v>4.9176470588235297</v>
      </c>
      <c r="F70" s="217">
        <v>5.3647058823529408</v>
      </c>
      <c r="G70" s="217">
        <v>5.9235294117647062</v>
      </c>
      <c r="H70" s="217">
        <v>6.4823529411764707</v>
      </c>
      <c r="I70" s="217">
        <v>7.6</v>
      </c>
      <c r="J70" s="217">
        <v>8.7176470588235286</v>
      </c>
      <c r="K70" s="217">
        <v>9.7235294117647051</v>
      </c>
      <c r="L70" s="217">
        <v>10.841176470588234</v>
      </c>
      <c r="M70" s="217">
        <v>12.964705882352941</v>
      </c>
      <c r="N70" s="217">
        <v>16.205882352941178</v>
      </c>
      <c r="O70" s="217">
        <v>19.44705882352941</v>
      </c>
      <c r="R70" s="147"/>
      <c r="U70" s="227"/>
      <c r="V70" s="209">
        <f t="shared" si="4"/>
        <v>740</v>
      </c>
      <c r="W70" s="227"/>
    </row>
    <row r="71" spans="2:23">
      <c r="B71" s="215">
        <v>800</v>
      </c>
      <c r="C71" s="216">
        <v>11</v>
      </c>
      <c r="D71" s="217">
        <v>4.5823529411764703</v>
      </c>
      <c r="E71" s="217">
        <v>5.2529411764705882</v>
      </c>
      <c r="F71" s="217">
        <v>5.8117647058823536</v>
      </c>
      <c r="G71" s="217">
        <v>6.3705882352941181</v>
      </c>
      <c r="H71" s="217">
        <v>6.9294117647058826</v>
      </c>
      <c r="I71" s="217">
        <v>8.0470588235294116</v>
      </c>
      <c r="J71" s="217">
        <v>9.2764705882352949</v>
      </c>
      <c r="K71" s="217">
        <v>10.394117647058824</v>
      </c>
      <c r="L71" s="217">
        <v>11.511764705882355</v>
      </c>
      <c r="M71" s="217">
        <v>13.858823529411765</v>
      </c>
      <c r="N71" s="217">
        <v>17.323529411764707</v>
      </c>
      <c r="O71" s="217">
        <v>20.788235294117648</v>
      </c>
      <c r="R71" s="147"/>
      <c r="U71" s="227"/>
      <c r="V71" s="209">
        <f t="shared" si="4"/>
        <v>750</v>
      </c>
      <c r="W71" s="227"/>
    </row>
    <row r="72" spans="2:23">
      <c r="B72" s="215">
        <v>850</v>
      </c>
      <c r="C72" s="216">
        <v>12</v>
      </c>
      <c r="D72" s="217">
        <v>4.9176470588235297</v>
      </c>
      <c r="E72" s="217">
        <v>5.4764705882352942</v>
      </c>
      <c r="F72" s="217">
        <v>6.1470588235294121</v>
      </c>
      <c r="G72" s="217">
        <v>6.7058823529411766</v>
      </c>
      <c r="H72" s="217">
        <v>7.3764705882352937</v>
      </c>
      <c r="I72" s="217">
        <v>8.6058823529411761</v>
      </c>
      <c r="J72" s="217">
        <v>9.8352941176470594</v>
      </c>
      <c r="K72" s="217">
        <v>11.064705882352941</v>
      </c>
      <c r="L72" s="217">
        <v>12.294117647058824</v>
      </c>
      <c r="M72" s="217">
        <v>14.752941176470587</v>
      </c>
      <c r="N72" s="217">
        <v>18.441176470588236</v>
      </c>
      <c r="O72" s="217">
        <v>22.129411764705882</v>
      </c>
      <c r="R72" s="147"/>
      <c r="U72" s="227"/>
      <c r="V72" s="209">
        <f t="shared" si="4"/>
        <v>760</v>
      </c>
      <c r="W72" s="227"/>
    </row>
    <row r="73" spans="2:23">
      <c r="B73" s="215">
        <v>900</v>
      </c>
      <c r="C73" s="216">
        <v>13</v>
      </c>
      <c r="D73" s="217">
        <v>5.2529411764705882</v>
      </c>
      <c r="E73" s="217">
        <v>5.8117647058823536</v>
      </c>
      <c r="F73" s="217">
        <v>6.4823529411764707</v>
      </c>
      <c r="G73" s="217">
        <v>7.1529411764705886</v>
      </c>
      <c r="H73" s="217">
        <v>7.8235294117647065</v>
      </c>
      <c r="I73" s="217">
        <v>9.052941176470588</v>
      </c>
      <c r="J73" s="217">
        <v>10.394117647058824</v>
      </c>
      <c r="K73" s="217">
        <v>11.73529411764706</v>
      </c>
      <c r="L73" s="217">
        <v>12.964705882352941</v>
      </c>
      <c r="M73" s="217">
        <v>15.647058823529413</v>
      </c>
      <c r="N73" s="217">
        <v>19.44705882352941</v>
      </c>
      <c r="O73" s="217">
        <v>23.358823529411765</v>
      </c>
      <c r="R73" s="147"/>
      <c r="U73" s="227"/>
      <c r="V73" s="209">
        <f t="shared" si="4"/>
        <v>770</v>
      </c>
      <c r="W73" s="227"/>
    </row>
    <row r="74" spans="2:23">
      <c r="B74" s="215">
        <v>950</v>
      </c>
      <c r="C74" s="216">
        <v>14</v>
      </c>
      <c r="D74" s="217">
        <v>5.4764705882352942</v>
      </c>
      <c r="E74" s="217">
        <v>6.1470588235294121</v>
      </c>
      <c r="F74" s="217">
        <v>6.8176470588235292</v>
      </c>
      <c r="G74" s="217">
        <v>7.6</v>
      </c>
      <c r="H74" s="217">
        <v>8.2705882352941185</v>
      </c>
      <c r="I74" s="217">
        <v>9.6117647058823525</v>
      </c>
      <c r="J74" s="217">
        <v>10.952941176470588</v>
      </c>
      <c r="K74" s="217">
        <v>12.294117647058824</v>
      </c>
      <c r="L74" s="217">
        <v>13.747058823529413</v>
      </c>
      <c r="M74" s="217">
        <v>16.429411764705883</v>
      </c>
      <c r="N74" s="217">
        <v>20.564705882352939</v>
      </c>
      <c r="O74" s="217">
        <v>24.700000000000003</v>
      </c>
      <c r="R74" s="147"/>
      <c r="U74" s="227"/>
      <c r="V74" s="209">
        <f t="shared" si="4"/>
        <v>780</v>
      </c>
      <c r="W74" s="227"/>
    </row>
    <row r="75" spans="2:23">
      <c r="B75" s="215">
        <v>1000</v>
      </c>
      <c r="C75" s="216">
        <v>15</v>
      </c>
      <c r="D75" s="217">
        <v>5.8117647058823536</v>
      </c>
      <c r="E75" s="217">
        <v>6.4823529411764707</v>
      </c>
      <c r="F75" s="217">
        <v>7.2647058823529411</v>
      </c>
      <c r="G75" s="217">
        <v>7.9352941176470591</v>
      </c>
      <c r="H75" s="217">
        <v>8.7176470588235286</v>
      </c>
      <c r="I75" s="217">
        <v>10.058823529411764</v>
      </c>
      <c r="J75" s="217">
        <v>11.511764705882355</v>
      </c>
      <c r="K75" s="217">
        <v>12.964705882352941</v>
      </c>
      <c r="L75" s="217">
        <v>14.41764705882353</v>
      </c>
      <c r="M75" s="217">
        <v>17.323529411764707</v>
      </c>
      <c r="N75" s="217">
        <v>21.682352941176468</v>
      </c>
      <c r="O75" s="217">
        <v>26.041176470588237</v>
      </c>
      <c r="R75" s="147"/>
      <c r="U75" s="227"/>
      <c r="V75" s="209">
        <f t="shared" si="4"/>
        <v>790</v>
      </c>
      <c r="W75" s="227"/>
    </row>
    <row r="76" spans="2:23">
      <c r="B76" s="215">
        <v>1040</v>
      </c>
      <c r="C76" s="216">
        <v>16</v>
      </c>
      <c r="D76" s="217">
        <v>6.0352941176470596</v>
      </c>
      <c r="E76" s="217">
        <v>6.7058823529411766</v>
      </c>
      <c r="F76" s="217">
        <v>7.4882352941176471</v>
      </c>
      <c r="G76" s="217">
        <v>8.2705882352941185</v>
      </c>
      <c r="H76" s="217">
        <v>9.052941176470588</v>
      </c>
      <c r="I76" s="217">
        <v>10.505882352941176</v>
      </c>
      <c r="J76" s="217">
        <v>11.958823529411765</v>
      </c>
      <c r="K76" s="217">
        <v>13.523529411764706</v>
      </c>
      <c r="L76" s="217">
        <v>14.976470588235294</v>
      </c>
      <c r="M76" s="217">
        <v>17.994117647058825</v>
      </c>
      <c r="N76" s="217">
        <v>22.576470588235296</v>
      </c>
      <c r="O76" s="217">
        <v>27.047058823529412</v>
      </c>
      <c r="R76" s="147"/>
      <c r="U76" s="227"/>
      <c r="V76" s="209">
        <f t="shared" si="4"/>
        <v>800</v>
      </c>
      <c r="W76" s="227"/>
    </row>
    <row r="77" spans="2:23">
      <c r="U77" s="227"/>
      <c r="V77" s="209">
        <f t="shared" si="4"/>
        <v>810</v>
      </c>
      <c r="W77" s="227"/>
    </row>
    <row r="78" spans="2:23">
      <c r="C78" s="248">
        <v>1</v>
      </c>
      <c r="F78" s="9">
        <f ca="1">INDEX(ТабМДФ,7,MATCH("МДФ",$AI$19:$AI$21,0))</f>
        <v>4.4720000000000004</v>
      </c>
      <c r="I78" s="249">
        <f ca="1">INT((INDEX(ТабМДФ,7,MATCH("МДФ",$AI$19:$AI$21,0))+14)/30)+C78</f>
        <v>1</v>
      </c>
      <c r="R78" s="9">
        <f ca="1">Цены!R2*10000</f>
        <v>447200000.00000006</v>
      </c>
      <c r="U78" s="227"/>
      <c r="V78" s="209">
        <f t="shared" si="4"/>
        <v>820</v>
      </c>
      <c r="W78" s="227"/>
    </row>
    <row r="79" spans="2:23">
      <c r="F79" s="9">
        <f>MATCH("МДФ",$AI$19:$AI$21,0)</f>
        <v>3</v>
      </c>
      <c r="R79" s="9" t="e">
        <f ca="1">MONTH(R78)</f>
        <v>#NUM!</v>
      </c>
      <c r="U79" s="227"/>
      <c r="V79" s="209">
        <f t="shared" si="4"/>
        <v>830</v>
      </c>
      <c r="W79" s="227"/>
    </row>
    <row r="80" spans="2:23">
      <c r="R80" s="9" t="e">
        <f ca="1">YEAR(R78)</f>
        <v>#NUM!</v>
      </c>
      <c r="U80" s="227"/>
      <c r="V80" s="209">
        <f t="shared" si="4"/>
        <v>840</v>
      </c>
      <c r="W80" s="227"/>
    </row>
    <row r="81" spans="21:23">
      <c r="U81" s="227"/>
      <c r="V81" s="209">
        <f t="shared" si="4"/>
        <v>850</v>
      </c>
      <c r="W81" s="227"/>
    </row>
    <row r="82" spans="21:23">
      <c r="U82" s="227"/>
      <c r="V82" s="209">
        <f t="shared" si="4"/>
        <v>860</v>
      </c>
      <c r="W82" s="227"/>
    </row>
    <row r="83" spans="21:23">
      <c r="U83" s="227"/>
      <c r="V83" s="209">
        <f t="shared" si="4"/>
        <v>870</v>
      </c>
      <c r="W83" s="227"/>
    </row>
    <row r="84" spans="21:23">
      <c r="U84" s="227"/>
      <c r="V84" s="209">
        <f t="shared" si="4"/>
        <v>880</v>
      </c>
      <c r="W84" s="227"/>
    </row>
    <row r="85" spans="21:23">
      <c r="U85" s="227"/>
      <c r="V85" s="209">
        <f t="shared" si="4"/>
        <v>890</v>
      </c>
      <c r="W85" s="227"/>
    </row>
    <row r="86" spans="21:23">
      <c r="U86" s="227"/>
      <c r="V86" s="209">
        <f t="shared" si="4"/>
        <v>900</v>
      </c>
      <c r="W86" s="227"/>
    </row>
    <row r="87" spans="21:23">
      <c r="U87" s="227"/>
      <c r="V87" s="209">
        <f t="shared" si="4"/>
        <v>910</v>
      </c>
      <c r="W87" s="227"/>
    </row>
    <row r="88" spans="21:23">
      <c r="U88" s="227"/>
      <c r="V88" s="209">
        <f t="shared" si="4"/>
        <v>920</v>
      </c>
      <c r="W88" s="227"/>
    </row>
    <row r="89" spans="21:23">
      <c r="U89" s="227"/>
      <c r="V89" s="209">
        <f t="shared" si="4"/>
        <v>930</v>
      </c>
      <c r="W89" s="227"/>
    </row>
    <row r="90" spans="21:23">
      <c r="U90" s="227"/>
      <c r="V90" s="209">
        <f t="shared" si="4"/>
        <v>940</v>
      </c>
      <c r="W90" s="227"/>
    </row>
    <row r="91" spans="21:23">
      <c r="U91" s="227"/>
      <c r="V91" s="209">
        <f t="shared" si="4"/>
        <v>950</v>
      </c>
      <c r="W91" s="227"/>
    </row>
    <row r="92" spans="21:23">
      <c r="U92" s="227"/>
      <c r="V92" s="209">
        <f t="shared" ref="V92:V100" si="5">V91+10</f>
        <v>960</v>
      </c>
      <c r="W92" s="227"/>
    </row>
    <row r="93" spans="21:23">
      <c r="U93" s="227"/>
      <c r="V93" s="209">
        <f t="shared" si="5"/>
        <v>970</v>
      </c>
      <c r="W93" s="227"/>
    </row>
    <row r="94" spans="21:23">
      <c r="U94" s="227"/>
      <c r="V94" s="209">
        <f t="shared" si="5"/>
        <v>980</v>
      </c>
      <c r="W94" s="227"/>
    </row>
    <row r="95" spans="21:23">
      <c r="U95" s="227"/>
      <c r="V95" s="209">
        <f t="shared" si="5"/>
        <v>990</v>
      </c>
      <c r="W95" s="227"/>
    </row>
    <row r="96" spans="21:23">
      <c r="U96" s="227"/>
      <c r="V96" s="209">
        <f t="shared" si="5"/>
        <v>1000</v>
      </c>
      <c r="W96" s="227"/>
    </row>
    <row r="97" spans="21:23">
      <c r="U97" s="227"/>
      <c r="V97" s="209">
        <f t="shared" si="5"/>
        <v>1010</v>
      </c>
      <c r="W97" s="227"/>
    </row>
    <row r="98" spans="21:23">
      <c r="U98" s="227"/>
      <c r="V98" s="209">
        <f t="shared" si="5"/>
        <v>1020</v>
      </c>
      <c r="W98" s="227"/>
    </row>
    <row r="99" spans="21:23">
      <c r="U99" s="227"/>
      <c r="V99" s="209">
        <f t="shared" si="5"/>
        <v>1030</v>
      </c>
      <c r="W99" s="227"/>
    </row>
    <row r="100" spans="21:23">
      <c r="U100" s="227"/>
      <c r="V100" s="209">
        <f t="shared" si="5"/>
        <v>1040</v>
      </c>
      <c r="W100" s="227"/>
    </row>
  </sheetData>
  <sheetProtection password="CEE3" sheet="1" objects="1" scenarios="1" selectLockedCells="1" selectUnlockedCells="1"/>
  <sortState ref="AC6:AF8">
    <sortCondition ref="AC6"/>
  </sortState>
  <mergeCells count="10">
    <mergeCell ref="R14:S14"/>
    <mergeCell ref="R15:R16"/>
    <mergeCell ref="S15:S16"/>
    <mergeCell ref="B14:O14"/>
    <mergeCell ref="D15:O15"/>
    <mergeCell ref="B57:O57"/>
    <mergeCell ref="D58:O58"/>
    <mergeCell ref="B35:O35"/>
    <mergeCell ref="B36:B37"/>
    <mergeCell ref="D36:O3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3"/>
  <dimension ref="A1:K214"/>
  <sheetViews>
    <sheetView workbookViewId="0">
      <selection activeCell="D64" sqref="D64"/>
    </sheetView>
  </sheetViews>
  <sheetFormatPr defaultColWidth="9.140625" defaultRowHeight="15"/>
  <cols>
    <col min="1" max="1" width="11.28515625" style="140" customWidth="1"/>
    <col min="2" max="2" width="19.85546875" style="9" customWidth="1"/>
    <col min="3" max="3" width="16.42578125" style="9" customWidth="1"/>
    <col min="4" max="4" width="11.7109375" style="9" customWidth="1"/>
    <col min="5" max="5" width="66.28515625" style="9" customWidth="1"/>
    <col min="6" max="7" width="9.140625" style="9"/>
    <col min="8" max="8" width="9.85546875" style="9" customWidth="1"/>
    <col min="9" max="9" width="4.28515625" style="9" customWidth="1"/>
    <col min="10" max="16384" width="9.140625" style="9"/>
  </cols>
  <sheetData>
    <row r="1" spans="1:11">
      <c r="E1" s="9" t="s">
        <v>42</v>
      </c>
      <c r="G1" s="9">
        <v>43202</v>
      </c>
      <c r="H1" s="9">
        <f ca="1">Цены!D2</f>
        <v>0</v>
      </c>
      <c r="K1" s="250" t="s">
        <v>262</v>
      </c>
    </row>
    <row r="2" spans="1:11">
      <c r="A2" s="140" t="e">
        <f>LARGE(A4:$A$214,1)</f>
        <v>#NUM!</v>
      </c>
      <c r="C2" s="9" t="e">
        <f>MATCH(2,$A$4:$A$214,0)</f>
        <v>#N/A</v>
      </c>
      <c r="K2" s="9" t="s">
        <v>263</v>
      </c>
    </row>
    <row r="3" spans="1:11">
      <c r="A3" s="251" t="s">
        <v>260</v>
      </c>
      <c r="B3" s="251" t="s">
        <v>261</v>
      </c>
      <c r="C3" s="251" t="s">
        <v>479</v>
      </c>
      <c r="D3" s="251" t="s">
        <v>1</v>
      </c>
      <c r="E3" s="251" t="s">
        <v>2</v>
      </c>
      <c r="F3" s="138" t="s">
        <v>188</v>
      </c>
      <c r="G3" s="138" t="s">
        <v>257</v>
      </c>
      <c r="H3" s="138" t="s">
        <v>257</v>
      </c>
    </row>
    <row r="4" spans="1:11">
      <c r="A4" s="252"/>
      <c r="B4" s="252"/>
      <c r="C4" s="252"/>
      <c r="D4" s="181"/>
      <c r="E4" s="253"/>
      <c r="F4" s="181"/>
      <c r="G4" s="254"/>
      <c r="H4" s="255"/>
      <c r="I4" s="9">
        <f t="shared" ref="I4:I35" si="0">COUNTIF(D:D,D4)</f>
        <v>1</v>
      </c>
    </row>
    <row r="5" spans="1:11">
      <c r="A5" s="252"/>
      <c r="B5" s="252"/>
      <c r="C5" s="252"/>
      <c r="D5" s="181"/>
      <c r="E5" s="253"/>
      <c r="F5" s="181"/>
      <c r="G5" s="254"/>
      <c r="H5" s="255"/>
      <c r="I5" s="9">
        <f t="shared" si="0"/>
        <v>1</v>
      </c>
    </row>
    <row r="6" spans="1:11">
      <c r="A6" s="252"/>
      <c r="B6" s="252"/>
      <c r="C6" s="252"/>
      <c r="D6" s="181"/>
      <c r="E6" s="253"/>
      <c r="F6" s="181"/>
      <c r="G6" s="254"/>
      <c r="H6" s="255"/>
      <c r="I6" s="9">
        <f t="shared" si="0"/>
        <v>1</v>
      </c>
    </row>
    <row r="7" spans="1:11">
      <c r="A7" s="252" t="s">
        <v>258</v>
      </c>
      <c r="B7" s="252" t="s">
        <v>259</v>
      </c>
      <c r="C7" s="252" t="s">
        <v>259</v>
      </c>
      <c r="D7" s="181" t="s">
        <v>61</v>
      </c>
      <c r="E7" s="253" t="s">
        <v>49</v>
      </c>
      <c r="F7" s="181">
        <v>1</v>
      </c>
      <c r="G7" s="254">
        <f>SUMIF(Цены!$B:$B,D7,Цены!$C:$C)</f>
        <v>0.77792207999999996</v>
      </c>
      <c r="H7" s="255">
        <f t="shared" ref="H7:H37" ca="1" si="1">G7*$H$1</f>
        <v>0</v>
      </c>
      <c r="I7" s="9">
        <f t="shared" si="0"/>
        <v>1</v>
      </c>
    </row>
    <row r="8" spans="1:11">
      <c r="A8" s="252"/>
      <c r="B8" s="252"/>
      <c r="C8" s="252"/>
      <c r="D8" s="181"/>
      <c r="E8" s="253"/>
      <c r="F8" s="181"/>
      <c r="G8" s="254"/>
      <c r="H8" s="255"/>
      <c r="I8" s="9">
        <f t="shared" si="0"/>
        <v>1</v>
      </c>
    </row>
    <row r="9" spans="1:11">
      <c r="A9" s="252" t="s">
        <v>266</v>
      </c>
      <c r="B9" s="252" t="s">
        <v>31</v>
      </c>
      <c r="C9" s="252" t="s">
        <v>480</v>
      </c>
      <c r="D9" s="181" t="s">
        <v>192</v>
      </c>
      <c r="E9" s="253" t="s">
        <v>193</v>
      </c>
      <c r="F9" s="181">
        <v>1</v>
      </c>
      <c r="G9" s="254">
        <f>SUMIF(Цены!$B:$B,D9,Цены!$C:$C)</f>
        <v>1.968470985</v>
      </c>
      <c r="H9" s="255">
        <f t="shared" ca="1" si="1"/>
        <v>0</v>
      </c>
      <c r="I9" s="9">
        <f t="shared" si="0"/>
        <v>1</v>
      </c>
    </row>
    <row r="10" spans="1:11">
      <c r="A10" s="252" t="s">
        <v>266</v>
      </c>
      <c r="B10" s="252" t="s">
        <v>31</v>
      </c>
      <c r="C10" s="252" t="s">
        <v>480</v>
      </c>
      <c r="D10" s="181" t="s">
        <v>17</v>
      </c>
      <c r="E10" s="253" t="s">
        <v>18</v>
      </c>
      <c r="F10" s="181">
        <v>1</v>
      </c>
      <c r="G10" s="254">
        <f>SUMIF(Цены!$B:$B,D10,Цены!$C:$C)</f>
        <v>2.2425062789999997</v>
      </c>
      <c r="H10" s="255">
        <f t="shared" ca="1" si="1"/>
        <v>0</v>
      </c>
      <c r="I10" s="9">
        <f t="shared" si="0"/>
        <v>1</v>
      </c>
    </row>
    <row r="11" spans="1:11">
      <c r="A11" s="252" t="s">
        <v>266</v>
      </c>
      <c r="B11" s="252" t="s">
        <v>31</v>
      </c>
      <c r="C11" s="252" t="s">
        <v>480</v>
      </c>
      <c r="D11" s="181" t="s">
        <v>19</v>
      </c>
      <c r="E11" s="253" t="s">
        <v>20</v>
      </c>
      <c r="F11" s="181">
        <v>1</v>
      </c>
      <c r="G11" s="254">
        <f>SUMIF(Цены!$B:$B,D11,Цены!$C:$C)</f>
        <v>1.6597534849999995</v>
      </c>
      <c r="H11" s="255">
        <f t="shared" ca="1" si="1"/>
        <v>0</v>
      </c>
      <c r="I11" s="9">
        <f t="shared" si="0"/>
        <v>1</v>
      </c>
    </row>
    <row r="12" spans="1:11">
      <c r="A12" s="252" t="s">
        <v>266</v>
      </c>
      <c r="B12" s="252" t="s">
        <v>48</v>
      </c>
      <c r="C12" s="252" t="s">
        <v>480</v>
      </c>
      <c r="D12" s="181" t="s">
        <v>194</v>
      </c>
      <c r="E12" s="253" t="s">
        <v>195</v>
      </c>
      <c r="F12" s="181">
        <v>1</v>
      </c>
      <c r="G12" s="254">
        <f>SUMIF(Цены!$B:$B,D12,Цены!$C:$C)</f>
        <v>2.921684779</v>
      </c>
      <c r="H12" s="255">
        <f t="shared" ca="1" si="1"/>
        <v>0</v>
      </c>
      <c r="I12" s="9">
        <f t="shared" si="0"/>
        <v>1</v>
      </c>
    </row>
    <row r="13" spans="1:11">
      <c r="A13" s="252" t="s">
        <v>266</v>
      </c>
      <c r="B13" s="252" t="s">
        <v>31</v>
      </c>
      <c r="C13" s="252" t="s">
        <v>480</v>
      </c>
      <c r="D13" s="181" t="s">
        <v>21</v>
      </c>
      <c r="E13" s="253" t="s">
        <v>22</v>
      </c>
      <c r="F13" s="181">
        <v>1</v>
      </c>
      <c r="G13" s="254">
        <f>SUMIF(Цены!$B:$B,D13,Цены!$C:$C)</f>
        <v>3.9607043969999993</v>
      </c>
      <c r="H13" s="255">
        <f t="shared" ca="1" si="1"/>
        <v>0</v>
      </c>
      <c r="I13" s="9">
        <f t="shared" si="0"/>
        <v>1</v>
      </c>
    </row>
    <row r="14" spans="1:11">
      <c r="A14" s="252" t="s">
        <v>266</v>
      </c>
      <c r="B14" s="252" t="s">
        <v>33</v>
      </c>
      <c r="C14" s="252" t="s">
        <v>480</v>
      </c>
      <c r="D14" s="181" t="s">
        <v>7</v>
      </c>
      <c r="E14" s="253" t="s">
        <v>8</v>
      </c>
      <c r="F14" s="181">
        <v>1</v>
      </c>
      <c r="G14" s="254">
        <f>SUMIF(Цены!$B:$B,D14,Цены!$C:$C)</f>
        <v>1.8687111299999999</v>
      </c>
      <c r="H14" s="255">
        <f t="shared" ca="1" si="1"/>
        <v>0</v>
      </c>
      <c r="I14" s="9">
        <f t="shared" si="0"/>
        <v>1</v>
      </c>
    </row>
    <row r="15" spans="1:11">
      <c r="A15" s="252" t="s">
        <v>266</v>
      </c>
      <c r="B15" s="252" t="s">
        <v>475</v>
      </c>
      <c r="C15" s="252" t="s">
        <v>480</v>
      </c>
      <c r="D15" s="181" t="s">
        <v>4</v>
      </c>
      <c r="E15" s="253" t="s">
        <v>5</v>
      </c>
      <c r="F15" s="181">
        <v>1</v>
      </c>
      <c r="G15" s="254">
        <f>SUMIF(Цены!$B:$B,D15,Цены!$C:$C)</f>
        <v>0.93273259300000011</v>
      </c>
      <c r="H15" s="255">
        <f t="shared" ca="1" si="1"/>
        <v>0</v>
      </c>
      <c r="I15" s="9">
        <f t="shared" si="0"/>
        <v>1</v>
      </c>
    </row>
    <row r="16" spans="1:11">
      <c r="A16" s="252" t="s">
        <v>266</v>
      </c>
      <c r="B16" s="252" t="s">
        <v>33</v>
      </c>
      <c r="C16" s="252" t="s">
        <v>480</v>
      </c>
      <c r="D16" s="181" t="s">
        <v>204</v>
      </c>
      <c r="E16" s="253" t="s">
        <v>202</v>
      </c>
      <c r="F16" s="181">
        <v>1</v>
      </c>
      <c r="G16" s="254">
        <f>SUMIF(Цены!$B:$B,D16,Цены!$C:$C)</f>
        <v>0.30183750999999998</v>
      </c>
      <c r="H16" s="255">
        <f t="shared" ca="1" si="1"/>
        <v>0</v>
      </c>
      <c r="I16" s="9">
        <f t="shared" si="0"/>
        <v>1</v>
      </c>
    </row>
    <row r="17" spans="1:9">
      <c r="A17" s="252" t="s">
        <v>266</v>
      </c>
      <c r="B17" s="252" t="s">
        <v>477</v>
      </c>
      <c r="C17" s="252" t="s">
        <v>480</v>
      </c>
      <c r="D17" s="181" t="s">
        <v>203</v>
      </c>
      <c r="E17" s="253" t="s">
        <v>205</v>
      </c>
      <c r="F17" s="181">
        <v>1</v>
      </c>
      <c r="G17" s="254">
        <f>SUMIF(Цены!$B:$B,D17,Цены!$C:$C)</f>
        <v>4.2588020149999988</v>
      </c>
      <c r="H17" s="255">
        <f t="shared" ca="1" si="1"/>
        <v>0</v>
      </c>
      <c r="I17" s="9">
        <f t="shared" si="0"/>
        <v>1</v>
      </c>
    </row>
    <row r="18" spans="1:9">
      <c r="A18" s="252" t="s">
        <v>266</v>
      </c>
      <c r="B18" s="252" t="s">
        <v>32</v>
      </c>
      <c r="C18" s="252" t="s">
        <v>480</v>
      </c>
      <c r="D18" s="181" t="s">
        <v>11</v>
      </c>
      <c r="E18" s="253" t="s">
        <v>12</v>
      </c>
      <c r="F18" s="181">
        <v>1</v>
      </c>
      <c r="G18" s="254">
        <f>SUMIF(Цены!$B:$B,D18,Цены!$C:$C)</f>
        <v>1.9502125499999998</v>
      </c>
      <c r="H18" s="255">
        <f t="shared" ca="1" si="1"/>
        <v>0</v>
      </c>
      <c r="I18" s="9">
        <f t="shared" si="0"/>
        <v>1</v>
      </c>
    </row>
    <row r="19" spans="1:9">
      <c r="A19" s="252" t="s">
        <v>266</v>
      </c>
      <c r="B19" s="252" t="s">
        <v>476</v>
      </c>
      <c r="C19" s="252" t="s">
        <v>480</v>
      </c>
      <c r="D19" s="181" t="s">
        <v>27</v>
      </c>
      <c r="E19" s="253" t="s">
        <v>234</v>
      </c>
      <c r="F19" s="181">
        <v>1</v>
      </c>
      <c r="G19" s="254">
        <f>SUMIF(Цены!$B:$B,D19,Цены!$C:$C)</f>
        <v>5.1194711229999994</v>
      </c>
      <c r="H19" s="255">
        <f t="shared" ca="1" si="1"/>
        <v>0</v>
      </c>
      <c r="I19" s="9">
        <f t="shared" si="0"/>
        <v>1</v>
      </c>
    </row>
    <row r="20" spans="1:9">
      <c r="A20" s="252" t="s">
        <v>266</v>
      </c>
      <c r="B20" s="252" t="s">
        <v>476</v>
      </c>
      <c r="C20" s="252" t="s">
        <v>480</v>
      </c>
      <c r="D20" s="181" t="s">
        <v>28</v>
      </c>
      <c r="E20" s="253" t="s">
        <v>265</v>
      </c>
      <c r="F20" s="181">
        <v>1</v>
      </c>
      <c r="G20" s="254">
        <f>SUMIF(Цены!$B:$B,D20,Цены!$C:$C)</f>
        <v>0.48692688199999995</v>
      </c>
      <c r="H20" s="255">
        <f t="shared" ca="1" si="1"/>
        <v>0</v>
      </c>
      <c r="I20" s="9">
        <f t="shared" si="0"/>
        <v>1</v>
      </c>
    </row>
    <row r="21" spans="1:9">
      <c r="A21" s="252" t="s">
        <v>266</v>
      </c>
      <c r="B21" s="252" t="s">
        <v>30</v>
      </c>
      <c r="C21" s="252" t="s">
        <v>480</v>
      </c>
      <c r="D21" s="181" t="s">
        <v>206</v>
      </c>
      <c r="E21" s="253" t="s">
        <v>207</v>
      </c>
      <c r="F21" s="181">
        <v>1</v>
      </c>
      <c r="G21" s="254">
        <f>SUMIF(Цены!$B:$B,D21,Цены!$C:$C)</f>
        <v>2.9159514539999996</v>
      </c>
      <c r="H21" s="255">
        <f t="shared" ca="1" si="1"/>
        <v>0</v>
      </c>
      <c r="I21" s="9">
        <f t="shared" si="0"/>
        <v>1</v>
      </c>
    </row>
    <row r="22" spans="1:9">
      <c r="A22" s="252" t="s">
        <v>266</v>
      </c>
      <c r="B22" s="252" t="s">
        <v>36</v>
      </c>
      <c r="C22" s="252" t="s">
        <v>480</v>
      </c>
      <c r="D22" s="181" t="s">
        <v>39</v>
      </c>
      <c r="E22" s="253" t="s">
        <v>237</v>
      </c>
      <c r="F22" s="181">
        <v>1</v>
      </c>
      <c r="G22" s="254">
        <f>SUMIF(Цены!$B:$B,D22,Цены!$C:$C)</f>
        <v>2.9159514539999996</v>
      </c>
      <c r="H22" s="255">
        <f t="shared" ca="1" si="1"/>
        <v>0</v>
      </c>
      <c r="I22" s="9">
        <f t="shared" si="0"/>
        <v>1</v>
      </c>
    </row>
    <row r="23" spans="1:9">
      <c r="A23" s="252" t="s">
        <v>266</v>
      </c>
      <c r="B23" s="252" t="s">
        <v>36</v>
      </c>
      <c r="C23" s="252" t="s">
        <v>480</v>
      </c>
      <c r="D23" s="181" t="s">
        <v>236</v>
      </c>
      <c r="E23" s="253" t="s">
        <v>238</v>
      </c>
      <c r="F23" s="181">
        <v>1</v>
      </c>
      <c r="G23" s="254">
        <f>SUMIF(Цены!$B:$B,D23,Цены!$C:$C)</f>
        <v>2.9159514539999996</v>
      </c>
      <c r="H23" s="255">
        <f t="shared" ca="1" si="1"/>
        <v>0</v>
      </c>
      <c r="I23" s="9">
        <f t="shared" si="0"/>
        <v>1</v>
      </c>
    </row>
    <row r="24" spans="1:9">
      <c r="A24" s="252" t="s">
        <v>266</v>
      </c>
      <c r="B24" s="252" t="s">
        <v>476</v>
      </c>
      <c r="C24" s="252" t="s">
        <v>480</v>
      </c>
      <c r="D24" s="181" t="s">
        <v>233</v>
      </c>
      <c r="E24" s="253" t="s">
        <v>235</v>
      </c>
      <c r="F24" s="181">
        <v>1</v>
      </c>
      <c r="G24" s="254">
        <f>SUMIF(Цены!$B:$B,D24,Цены!$C:$C)</f>
        <v>9.098116417</v>
      </c>
      <c r="H24" s="255">
        <f t="shared" ca="1" si="1"/>
        <v>0</v>
      </c>
      <c r="I24" s="9">
        <f t="shared" si="0"/>
        <v>1</v>
      </c>
    </row>
    <row r="25" spans="1:9">
      <c r="A25" s="252" t="s">
        <v>266</v>
      </c>
      <c r="B25" s="252" t="s">
        <v>48</v>
      </c>
      <c r="C25" s="252" t="s">
        <v>480</v>
      </c>
      <c r="D25" s="181" t="s">
        <v>35</v>
      </c>
      <c r="E25" s="253" t="s">
        <v>208</v>
      </c>
      <c r="F25" s="181">
        <v>1</v>
      </c>
      <c r="G25" s="254">
        <f>SUMIF(Цены!$B:$B,D25,Цены!$C:$C)</f>
        <v>0.19645017599999998</v>
      </c>
      <c r="H25" s="255">
        <f t="shared" ca="1" si="1"/>
        <v>0</v>
      </c>
      <c r="I25" s="9">
        <f t="shared" si="0"/>
        <v>1</v>
      </c>
    </row>
    <row r="26" spans="1:9">
      <c r="A26" s="252" t="s">
        <v>266</v>
      </c>
      <c r="B26" s="252" t="s">
        <v>48</v>
      </c>
      <c r="C26" s="252" t="s">
        <v>480</v>
      </c>
      <c r="D26" s="181" t="s">
        <v>242</v>
      </c>
      <c r="E26" s="253" t="s">
        <v>244</v>
      </c>
      <c r="F26" s="181">
        <v>1</v>
      </c>
      <c r="G26" s="254">
        <f>SUMIF(Цены!$B:$B,D26,Цены!$C:$C)</f>
        <v>0.35715968599999998</v>
      </c>
      <c r="H26" s="255">
        <f t="shared" ca="1" si="1"/>
        <v>0</v>
      </c>
      <c r="I26" s="9">
        <f t="shared" si="0"/>
        <v>1</v>
      </c>
    </row>
    <row r="27" spans="1:9">
      <c r="A27" s="252" t="s">
        <v>266</v>
      </c>
      <c r="B27" s="252" t="s">
        <v>48</v>
      </c>
      <c r="C27" s="252" t="s">
        <v>480</v>
      </c>
      <c r="D27" s="181" t="s">
        <v>243</v>
      </c>
      <c r="E27" s="253" t="s">
        <v>245</v>
      </c>
      <c r="F27" s="181">
        <v>1</v>
      </c>
      <c r="G27" s="254">
        <f>SUMIF(Цены!$B:$B,D27,Цены!$C:$C)</f>
        <v>0.35715968599999998</v>
      </c>
      <c r="H27" s="255">
        <f t="shared" ca="1" si="1"/>
        <v>0</v>
      </c>
      <c r="I27" s="9">
        <f t="shared" si="0"/>
        <v>1</v>
      </c>
    </row>
    <row r="28" spans="1:9">
      <c r="A28" s="252" t="s">
        <v>266</v>
      </c>
      <c r="B28" s="252" t="s">
        <v>48</v>
      </c>
      <c r="C28" s="252" t="s">
        <v>480</v>
      </c>
      <c r="D28" s="181" t="s">
        <v>213</v>
      </c>
      <c r="E28" s="253" t="s">
        <v>215</v>
      </c>
      <c r="F28" s="181">
        <v>1</v>
      </c>
      <c r="G28" s="254">
        <f>SUMIF(Цены!$B:$B,D28,Цены!$C:$C)</f>
        <v>0.35715968599999998</v>
      </c>
      <c r="H28" s="255">
        <f t="shared" ca="1" si="1"/>
        <v>0</v>
      </c>
      <c r="I28" s="9">
        <f t="shared" si="0"/>
        <v>1</v>
      </c>
    </row>
    <row r="29" spans="1:9">
      <c r="A29" s="252" t="s">
        <v>266</v>
      </c>
      <c r="B29" s="252" t="s">
        <v>48</v>
      </c>
      <c r="C29" s="252" t="s">
        <v>480</v>
      </c>
      <c r="D29" s="181" t="s">
        <v>214</v>
      </c>
      <c r="E29" s="253" t="s">
        <v>216</v>
      </c>
      <c r="F29" s="181">
        <v>1</v>
      </c>
      <c r="G29" s="254">
        <f>SUMIF(Цены!$B:$B,D29,Цены!$C:$C)</f>
        <v>0.35715968599999998</v>
      </c>
      <c r="H29" s="255">
        <f t="shared" ca="1" si="1"/>
        <v>0</v>
      </c>
      <c r="I29" s="9">
        <f t="shared" si="0"/>
        <v>1</v>
      </c>
    </row>
    <row r="30" spans="1:9">
      <c r="A30" s="252" t="s">
        <v>266</v>
      </c>
      <c r="B30" s="252" t="s">
        <v>48</v>
      </c>
      <c r="C30" s="252" t="s">
        <v>480</v>
      </c>
      <c r="D30" s="181" t="s">
        <v>248</v>
      </c>
      <c r="E30" s="253" t="s">
        <v>247</v>
      </c>
      <c r="F30" s="181">
        <v>1</v>
      </c>
      <c r="G30" s="254">
        <f>SUMIF(Цены!$B:$B,D30,Цены!$C:$C)</f>
        <v>0.56077210799999999</v>
      </c>
      <c r="H30" s="255">
        <f t="shared" ca="1" si="1"/>
        <v>0</v>
      </c>
      <c r="I30" s="9">
        <f t="shared" si="0"/>
        <v>1</v>
      </c>
    </row>
    <row r="31" spans="1:9">
      <c r="A31" s="252" t="s">
        <v>266</v>
      </c>
      <c r="B31" s="252" t="s">
        <v>48</v>
      </c>
      <c r="C31" s="252" t="s">
        <v>480</v>
      </c>
      <c r="D31" s="181" t="s">
        <v>210</v>
      </c>
      <c r="E31" s="253" t="s">
        <v>209</v>
      </c>
      <c r="F31" s="181">
        <v>1</v>
      </c>
      <c r="G31" s="254">
        <f>SUMIF(Цены!$B:$B,D31,Цены!$C:$C)</f>
        <v>0.56077210799999999</v>
      </c>
      <c r="H31" s="255">
        <f t="shared" ca="1" si="1"/>
        <v>0</v>
      </c>
      <c r="I31" s="9">
        <f t="shared" si="0"/>
        <v>1</v>
      </c>
    </row>
    <row r="32" spans="1:9">
      <c r="A32" s="252" t="s">
        <v>266</v>
      </c>
      <c r="B32" s="252" t="s">
        <v>48</v>
      </c>
      <c r="C32" s="252" t="s">
        <v>480</v>
      </c>
      <c r="D32" s="181" t="s">
        <v>246</v>
      </c>
      <c r="E32" s="253" t="s">
        <v>249</v>
      </c>
      <c r="F32" s="181">
        <v>1</v>
      </c>
      <c r="G32" s="254">
        <f>SUMIF(Цены!$B:$B,D32,Цены!$C:$C)</f>
        <v>0.411123505</v>
      </c>
      <c r="H32" s="255">
        <f t="shared" ca="1" si="1"/>
        <v>0</v>
      </c>
      <c r="I32" s="9">
        <f t="shared" si="0"/>
        <v>1</v>
      </c>
    </row>
    <row r="33" spans="1:9">
      <c r="A33" s="252" t="s">
        <v>266</v>
      </c>
      <c r="B33" s="252" t="s">
        <v>48</v>
      </c>
      <c r="C33" s="252" t="s">
        <v>480</v>
      </c>
      <c r="D33" s="181" t="s">
        <v>212</v>
      </c>
      <c r="E33" s="253" t="s">
        <v>211</v>
      </c>
      <c r="F33" s="181">
        <v>1</v>
      </c>
      <c r="G33" s="254">
        <f>SUMIF(Цены!$B:$B,D33,Цены!$C:$C)</f>
        <v>0.411123505</v>
      </c>
      <c r="H33" s="255">
        <f t="shared" ca="1" si="1"/>
        <v>0</v>
      </c>
      <c r="I33" s="9">
        <f t="shared" si="0"/>
        <v>1</v>
      </c>
    </row>
    <row r="34" spans="1:9">
      <c r="A34" s="252" t="s">
        <v>266</v>
      </c>
      <c r="B34" s="252" t="s">
        <v>478</v>
      </c>
      <c r="C34" s="252" t="s">
        <v>480</v>
      </c>
      <c r="D34" s="181" t="s">
        <v>42</v>
      </c>
      <c r="E34" s="253" t="s">
        <v>386</v>
      </c>
      <c r="F34" s="181">
        <v>1</v>
      </c>
      <c r="G34" s="254">
        <f>SUMIF(Цены!$B:$B,D34,Цены!$C:$C)</f>
        <v>0.30153761299999998</v>
      </c>
      <c r="H34" s="255">
        <f t="shared" ca="1" si="1"/>
        <v>0</v>
      </c>
      <c r="I34" s="9">
        <f t="shared" si="0"/>
        <v>1</v>
      </c>
    </row>
    <row r="35" spans="1:9">
      <c r="A35" s="252" t="s">
        <v>266</v>
      </c>
      <c r="B35" s="252" t="s">
        <v>474</v>
      </c>
      <c r="C35" s="252" t="s">
        <v>480</v>
      </c>
      <c r="D35" s="181" t="s">
        <v>43</v>
      </c>
      <c r="E35" s="253" t="s">
        <v>473</v>
      </c>
      <c r="F35" s="181">
        <v>1</v>
      </c>
      <c r="G35" s="254">
        <f>SUMIF(Цены!$B:$B,D35,Цены!$C:$C)</f>
        <v>5.5990769899999995</v>
      </c>
      <c r="H35" s="255">
        <f t="shared" ca="1" si="1"/>
        <v>0</v>
      </c>
      <c r="I35" s="9">
        <f t="shared" si="0"/>
        <v>1</v>
      </c>
    </row>
    <row r="36" spans="1:9">
      <c r="A36" s="252" t="s">
        <v>266</v>
      </c>
      <c r="B36" s="252" t="s">
        <v>474</v>
      </c>
      <c r="C36" s="252" t="s">
        <v>480</v>
      </c>
      <c r="D36" s="181" t="s">
        <v>217</v>
      </c>
      <c r="E36" s="253" t="s">
        <v>482</v>
      </c>
      <c r="F36" s="181">
        <v>1</v>
      </c>
      <c r="G36" s="254">
        <f>SUMIF(Цены!$B:$B,D36,Цены!$C:$C)</f>
        <v>0.60233430399999999</v>
      </c>
      <c r="H36" s="255">
        <f t="shared" ca="1" si="1"/>
        <v>0</v>
      </c>
      <c r="I36" s="9">
        <f t="shared" ref="I36:I63" si="2">COUNTIF(D:D,D36)</f>
        <v>1</v>
      </c>
    </row>
    <row r="37" spans="1:9">
      <c r="A37" s="252" t="s">
        <v>266</v>
      </c>
      <c r="B37" s="252" t="s">
        <v>341</v>
      </c>
      <c r="C37" s="252" t="s">
        <v>480</v>
      </c>
      <c r="D37" s="181" t="s">
        <v>45</v>
      </c>
      <c r="E37" s="253" t="s">
        <v>264</v>
      </c>
      <c r="F37" s="181">
        <v>1</v>
      </c>
      <c r="G37" s="254">
        <f>SUMIF(Цены!$B:$B,D37,Цены!$C:$C)</f>
        <v>0.36254019099999996</v>
      </c>
      <c r="H37" s="255">
        <f t="shared" ca="1" si="1"/>
        <v>0</v>
      </c>
      <c r="I37" s="9">
        <f t="shared" si="2"/>
        <v>1</v>
      </c>
    </row>
    <row r="38" spans="1:9">
      <c r="A38" s="252" t="s">
        <v>266</v>
      </c>
      <c r="B38" s="252" t="s">
        <v>31</v>
      </c>
      <c r="C38" s="252" t="s">
        <v>481</v>
      </c>
      <c r="D38" s="181" t="s">
        <v>24</v>
      </c>
      <c r="E38" s="253" t="s">
        <v>267</v>
      </c>
      <c r="F38" s="181">
        <v>1</v>
      </c>
      <c r="G38" s="254">
        <f>SUMIF(Цены!$B:$B,D38,Цены!$C:$C)</f>
        <v>28.001347607999996</v>
      </c>
      <c r="H38" s="255">
        <f t="shared" ref="H38:H214" ca="1" si="3">G38*$H$1</f>
        <v>0</v>
      </c>
      <c r="I38" s="9">
        <f t="shared" si="2"/>
        <v>1</v>
      </c>
    </row>
    <row r="39" spans="1:9">
      <c r="A39" s="252" t="s">
        <v>266</v>
      </c>
      <c r="B39" s="252" t="s">
        <v>31</v>
      </c>
      <c r="C39" s="252" t="s">
        <v>481</v>
      </c>
      <c r="D39" s="181" t="s">
        <v>92</v>
      </c>
      <c r="E39" s="253" t="s">
        <v>268</v>
      </c>
      <c r="F39" s="181">
        <v>1</v>
      </c>
      <c r="G39" s="254">
        <f>SUMIF(Цены!$B:$B,D39,Цены!$C:$C)</f>
        <v>28.001347607999996</v>
      </c>
      <c r="H39" s="255">
        <f t="shared" ca="1" si="3"/>
        <v>0</v>
      </c>
      <c r="I39" s="9">
        <f t="shared" si="2"/>
        <v>1</v>
      </c>
    </row>
    <row r="40" spans="1:9">
      <c r="A40" s="252" t="s">
        <v>266</v>
      </c>
      <c r="B40" s="252" t="s">
        <v>31</v>
      </c>
      <c r="C40" s="252" t="s">
        <v>481</v>
      </c>
      <c r="D40" s="181" t="s">
        <v>95</v>
      </c>
      <c r="E40" s="253" t="s">
        <v>269</v>
      </c>
      <c r="F40" s="181">
        <v>1</v>
      </c>
      <c r="G40" s="254">
        <f>SUMIF(Цены!$B:$B,D40,Цены!$C:$C)</f>
        <v>28.001347607999996</v>
      </c>
      <c r="H40" s="255">
        <f t="shared" ca="1" si="3"/>
        <v>0</v>
      </c>
      <c r="I40" s="9">
        <f t="shared" si="2"/>
        <v>1</v>
      </c>
    </row>
    <row r="41" spans="1:9">
      <c r="A41" s="252" t="s">
        <v>266</v>
      </c>
      <c r="B41" s="252" t="s">
        <v>31</v>
      </c>
      <c r="C41" s="252" t="s">
        <v>481</v>
      </c>
      <c r="D41" s="181" t="s">
        <v>98</v>
      </c>
      <c r="E41" s="253" t="s">
        <v>270</v>
      </c>
      <c r="F41" s="181">
        <v>1</v>
      </c>
      <c r="G41" s="254">
        <f>SUMIF(Цены!$B:$B,D41,Цены!$C:$C)</f>
        <v>28.001347607999996</v>
      </c>
      <c r="H41" s="255">
        <f t="shared" ca="1" si="3"/>
        <v>0</v>
      </c>
      <c r="I41" s="9">
        <f t="shared" si="2"/>
        <v>1</v>
      </c>
    </row>
    <row r="42" spans="1:9">
      <c r="A42" s="252" t="s">
        <v>266</v>
      </c>
      <c r="B42" s="252" t="s">
        <v>31</v>
      </c>
      <c r="C42" s="252" t="s">
        <v>481</v>
      </c>
      <c r="D42" s="181" t="s">
        <v>101</v>
      </c>
      <c r="E42" s="253" t="s">
        <v>271</v>
      </c>
      <c r="F42" s="181">
        <v>1</v>
      </c>
      <c r="G42" s="254">
        <f>SUMIF(Цены!$B:$B,D42,Цены!$C:$C)</f>
        <v>28.001347607999996</v>
      </c>
      <c r="H42" s="255">
        <f t="shared" ca="1" si="3"/>
        <v>0</v>
      </c>
      <c r="I42" s="9">
        <f t="shared" si="2"/>
        <v>1</v>
      </c>
    </row>
    <row r="43" spans="1:9">
      <c r="A43" s="252" t="s">
        <v>266</v>
      </c>
      <c r="B43" s="252" t="s">
        <v>31</v>
      </c>
      <c r="C43" s="252" t="s">
        <v>481</v>
      </c>
      <c r="D43" s="181" t="s">
        <v>104</v>
      </c>
      <c r="E43" s="253" t="s">
        <v>272</v>
      </c>
      <c r="F43" s="181">
        <v>1</v>
      </c>
      <c r="G43" s="254">
        <f>SUMIF(Цены!$B:$B,D43,Цены!$C:$C)</f>
        <v>28.001347607999996</v>
      </c>
      <c r="H43" s="255">
        <f t="shared" ca="1" si="3"/>
        <v>0</v>
      </c>
      <c r="I43" s="9">
        <f t="shared" si="2"/>
        <v>1</v>
      </c>
    </row>
    <row r="44" spans="1:9">
      <c r="A44" s="252" t="s">
        <v>266</v>
      </c>
      <c r="B44" s="252" t="s">
        <v>31</v>
      </c>
      <c r="C44" s="252" t="s">
        <v>481</v>
      </c>
      <c r="D44" s="181" t="s">
        <v>107</v>
      </c>
      <c r="E44" s="253" t="s">
        <v>273</v>
      </c>
      <c r="F44" s="181">
        <v>1</v>
      </c>
      <c r="G44" s="254">
        <f>SUMIF(Цены!$B:$B,D44,Цены!$C:$C)</f>
        <v>28.001347607999996</v>
      </c>
      <c r="H44" s="255">
        <f t="shared" ca="1" si="3"/>
        <v>0</v>
      </c>
      <c r="I44" s="9">
        <f t="shared" si="2"/>
        <v>1</v>
      </c>
    </row>
    <row r="45" spans="1:9">
      <c r="A45" s="252" t="s">
        <v>266</v>
      </c>
      <c r="B45" s="252" t="s">
        <v>31</v>
      </c>
      <c r="C45" s="252" t="s">
        <v>481</v>
      </c>
      <c r="D45" s="181" t="s">
        <v>110</v>
      </c>
      <c r="E45" s="253" t="s">
        <v>274</v>
      </c>
      <c r="F45" s="181">
        <v>1</v>
      </c>
      <c r="G45" s="254">
        <f>SUMIF(Цены!$B:$B,D45,Цены!$C:$C)</f>
        <v>28.001347607999996</v>
      </c>
      <c r="H45" s="255">
        <f t="shared" ca="1" si="3"/>
        <v>0</v>
      </c>
      <c r="I45" s="9">
        <f t="shared" si="2"/>
        <v>1</v>
      </c>
    </row>
    <row r="46" spans="1:9">
      <c r="A46" s="252" t="s">
        <v>266</v>
      </c>
      <c r="B46" s="252" t="s">
        <v>31</v>
      </c>
      <c r="C46" s="252" t="s">
        <v>481</v>
      </c>
      <c r="D46" s="181" t="s">
        <v>113</v>
      </c>
      <c r="E46" s="253" t="s">
        <v>275</v>
      </c>
      <c r="F46" s="181">
        <v>1</v>
      </c>
      <c r="G46" s="254">
        <f>SUMIF(Цены!$B:$B,D46,Цены!$C:$C)</f>
        <v>28.001347607999996</v>
      </c>
      <c r="H46" s="255">
        <f t="shared" ca="1" si="3"/>
        <v>0</v>
      </c>
      <c r="I46" s="9">
        <f t="shared" si="2"/>
        <v>1</v>
      </c>
    </row>
    <row r="47" spans="1:9">
      <c r="A47" s="252" t="s">
        <v>266</v>
      </c>
      <c r="B47" s="252" t="s">
        <v>31</v>
      </c>
      <c r="C47" s="252" t="s">
        <v>481</v>
      </c>
      <c r="D47" s="181" t="s">
        <v>116</v>
      </c>
      <c r="E47" s="253" t="s">
        <v>276</v>
      </c>
      <c r="F47" s="181">
        <v>1</v>
      </c>
      <c r="G47" s="254">
        <f>SUMIF(Цены!$B:$B,D47,Цены!$C:$C)</f>
        <v>28.001347607999996</v>
      </c>
      <c r="H47" s="255">
        <f t="shared" ca="1" si="3"/>
        <v>0</v>
      </c>
      <c r="I47" s="9">
        <f t="shared" si="2"/>
        <v>1</v>
      </c>
    </row>
    <row r="48" spans="1:9">
      <c r="A48" s="252" t="s">
        <v>266</v>
      </c>
      <c r="B48" s="252" t="s">
        <v>31</v>
      </c>
      <c r="C48" s="252" t="s">
        <v>481</v>
      </c>
      <c r="D48" s="181" t="s">
        <v>119</v>
      </c>
      <c r="E48" s="253" t="s">
        <v>277</v>
      </c>
      <c r="F48" s="181">
        <v>1</v>
      </c>
      <c r="G48" s="254">
        <f>SUMIF(Цены!$B:$B,D48,Цены!$C:$C)</f>
        <v>28.001347607999996</v>
      </c>
      <c r="H48" s="255">
        <f t="shared" ca="1" si="3"/>
        <v>0</v>
      </c>
      <c r="I48" s="9">
        <f t="shared" si="2"/>
        <v>1</v>
      </c>
    </row>
    <row r="49" spans="1:9">
      <c r="A49" s="252" t="s">
        <v>266</v>
      </c>
      <c r="B49" s="252" t="s">
        <v>31</v>
      </c>
      <c r="C49" s="252" t="s">
        <v>481</v>
      </c>
      <c r="D49" s="181" t="s">
        <v>219</v>
      </c>
      <c r="E49" s="253" t="s">
        <v>278</v>
      </c>
      <c r="F49" s="181">
        <v>1</v>
      </c>
      <c r="G49" s="254">
        <f>SUMIF(Цены!$B:$B,D49,Цены!$C:$C)</f>
        <v>28.001347607999996</v>
      </c>
      <c r="H49" s="255">
        <f t="shared" ca="1" si="3"/>
        <v>0</v>
      </c>
      <c r="I49" s="9">
        <f t="shared" si="2"/>
        <v>1</v>
      </c>
    </row>
    <row r="50" spans="1:9">
      <c r="A50" s="252" t="s">
        <v>266</v>
      </c>
      <c r="B50" s="252" t="s">
        <v>31</v>
      </c>
      <c r="C50" s="252" t="s">
        <v>481</v>
      </c>
      <c r="D50" s="181" t="s">
        <v>222</v>
      </c>
      <c r="E50" s="253" t="s">
        <v>279</v>
      </c>
      <c r="F50" s="181">
        <v>1</v>
      </c>
      <c r="G50" s="254">
        <f>SUMIF(Цены!$B:$B,D50,Цены!$C:$C)</f>
        <v>28.001347607999996</v>
      </c>
      <c r="H50" s="255">
        <f t="shared" ca="1" si="3"/>
        <v>0</v>
      </c>
      <c r="I50" s="9">
        <f t="shared" si="2"/>
        <v>1</v>
      </c>
    </row>
    <row r="51" spans="1:9">
      <c r="A51" s="252" t="s">
        <v>266</v>
      </c>
      <c r="B51" s="252" t="s">
        <v>31</v>
      </c>
      <c r="C51" s="252" t="s">
        <v>481</v>
      </c>
      <c r="D51" s="181" t="s">
        <v>23</v>
      </c>
      <c r="E51" s="253" t="s">
        <v>280</v>
      </c>
      <c r="F51" s="181">
        <v>1</v>
      </c>
      <c r="G51" s="254">
        <f>SUMIF(Цены!$B:$B,D51,Цены!$C:$C)</f>
        <v>28.001347607999996</v>
      </c>
      <c r="H51" s="255">
        <f t="shared" ca="1" si="3"/>
        <v>0</v>
      </c>
      <c r="I51" s="9">
        <f t="shared" si="2"/>
        <v>1</v>
      </c>
    </row>
    <row r="52" spans="1:9">
      <c r="A52" s="252" t="s">
        <v>266</v>
      </c>
      <c r="B52" s="252" t="s">
        <v>31</v>
      </c>
      <c r="C52" s="252" t="s">
        <v>481</v>
      </c>
      <c r="D52" s="181" t="s">
        <v>94</v>
      </c>
      <c r="E52" s="253" t="s">
        <v>281</v>
      </c>
      <c r="F52" s="181">
        <v>1</v>
      </c>
      <c r="G52" s="254">
        <f>SUMIF(Цены!$B:$B,D52,Цены!$C:$C)</f>
        <v>28.001347607999996</v>
      </c>
      <c r="H52" s="255">
        <f t="shared" ca="1" si="3"/>
        <v>0</v>
      </c>
      <c r="I52" s="9">
        <f t="shared" si="2"/>
        <v>1</v>
      </c>
    </row>
    <row r="53" spans="1:9">
      <c r="A53" s="252" t="s">
        <v>266</v>
      </c>
      <c r="B53" s="252" t="s">
        <v>31</v>
      </c>
      <c r="C53" s="252" t="s">
        <v>481</v>
      </c>
      <c r="D53" s="181" t="s">
        <v>97</v>
      </c>
      <c r="E53" s="253" t="s">
        <v>282</v>
      </c>
      <c r="F53" s="181">
        <v>1</v>
      </c>
      <c r="G53" s="254">
        <f>SUMIF(Цены!$B:$B,D53,Цены!$C:$C)</f>
        <v>28.001347607999996</v>
      </c>
      <c r="H53" s="255">
        <f t="shared" ca="1" si="3"/>
        <v>0</v>
      </c>
      <c r="I53" s="9">
        <f t="shared" si="2"/>
        <v>1</v>
      </c>
    </row>
    <row r="54" spans="1:9">
      <c r="A54" s="252" t="s">
        <v>266</v>
      </c>
      <c r="B54" s="252" t="s">
        <v>31</v>
      </c>
      <c r="C54" s="252" t="s">
        <v>481</v>
      </c>
      <c r="D54" s="181" t="s">
        <v>100</v>
      </c>
      <c r="E54" s="253" t="s">
        <v>283</v>
      </c>
      <c r="F54" s="181">
        <v>1</v>
      </c>
      <c r="G54" s="254">
        <f>SUMIF(Цены!$B:$B,D54,Цены!$C:$C)</f>
        <v>28.001347607999996</v>
      </c>
      <c r="H54" s="255">
        <f t="shared" ca="1" si="3"/>
        <v>0</v>
      </c>
      <c r="I54" s="9">
        <f t="shared" si="2"/>
        <v>1</v>
      </c>
    </row>
    <row r="55" spans="1:9">
      <c r="A55" s="252" t="s">
        <v>266</v>
      </c>
      <c r="B55" s="252" t="s">
        <v>31</v>
      </c>
      <c r="C55" s="252" t="s">
        <v>481</v>
      </c>
      <c r="D55" s="181" t="s">
        <v>103</v>
      </c>
      <c r="E55" s="253" t="s">
        <v>284</v>
      </c>
      <c r="F55" s="181">
        <v>1</v>
      </c>
      <c r="G55" s="254">
        <f>SUMIF(Цены!$B:$B,D55,Цены!$C:$C)</f>
        <v>28.001347607999996</v>
      </c>
      <c r="H55" s="255">
        <f t="shared" ca="1" si="3"/>
        <v>0</v>
      </c>
      <c r="I55" s="9">
        <f t="shared" si="2"/>
        <v>1</v>
      </c>
    </row>
    <row r="56" spans="1:9">
      <c r="A56" s="252" t="s">
        <v>266</v>
      </c>
      <c r="B56" s="252" t="s">
        <v>31</v>
      </c>
      <c r="C56" s="252" t="s">
        <v>481</v>
      </c>
      <c r="D56" s="181" t="s">
        <v>106</v>
      </c>
      <c r="E56" s="253" t="s">
        <v>285</v>
      </c>
      <c r="F56" s="181">
        <v>1</v>
      </c>
      <c r="G56" s="254">
        <f>SUMIF(Цены!$B:$B,D56,Цены!$C:$C)</f>
        <v>28.001347607999996</v>
      </c>
      <c r="H56" s="255">
        <f t="shared" ca="1" si="3"/>
        <v>0</v>
      </c>
      <c r="I56" s="9">
        <f t="shared" si="2"/>
        <v>1</v>
      </c>
    </row>
    <row r="57" spans="1:9">
      <c r="A57" s="252" t="s">
        <v>266</v>
      </c>
      <c r="B57" s="252" t="s">
        <v>31</v>
      </c>
      <c r="C57" s="252" t="s">
        <v>481</v>
      </c>
      <c r="D57" s="181" t="s">
        <v>109</v>
      </c>
      <c r="E57" s="253" t="s">
        <v>286</v>
      </c>
      <c r="F57" s="181">
        <v>1</v>
      </c>
      <c r="G57" s="254">
        <f>SUMIF(Цены!$B:$B,D57,Цены!$C:$C)</f>
        <v>28.001347607999996</v>
      </c>
      <c r="H57" s="255">
        <f t="shared" ca="1" si="3"/>
        <v>0</v>
      </c>
      <c r="I57" s="9">
        <f t="shared" si="2"/>
        <v>1</v>
      </c>
    </row>
    <row r="58" spans="1:9">
      <c r="A58" s="252" t="s">
        <v>266</v>
      </c>
      <c r="B58" s="252" t="s">
        <v>31</v>
      </c>
      <c r="C58" s="252" t="s">
        <v>481</v>
      </c>
      <c r="D58" s="181" t="s">
        <v>112</v>
      </c>
      <c r="E58" s="253" t="s">
        <v>287</v>
      </c>
      <c r="F58" s="181">
        <v>1</v>
      </c>
      <c r="G58" s="254">
        <f>SUMIF(Цены!$B:$B,D58,Цены!$C:$C)</f>
        <v>28.001347607999996</v>
      </c>
      <c r="H58" s="255">
        <f t="shared" ca="1" si="3"/>
        <v>0</v>
      </c>
      <c r="I58" s="9">
        <f t="shared" si="2"/>
        <v>1</v>
      </c>
    </row>
    <row r="59" spans="1:9">
      <c r="A59" s="252" t="s">
        <v>266</v>
      </c>
      <c r="B59" s="252" t="s">
        <v>31</v>
      </c>
      <c r="C59" s="252" t="s">
        <v>481</v>
      </c>
      <c r="D59" s="181" t="s">
        <v>115</v>
      </c>
      <c r="E59" s="253" t="s">
        <v>288</v>
      </c>
      <c r="F59" s="181">
        <v>1</v>
      </c>
      <c r="G59" s="254">
        <f>SUMIF(Цены!$B:$B,D59,Цены!$C:$C)</f>
        <v>28.001347607999996</v>
      </c>
      <c r="H59" s="255">
        <f t="shared" ca="1" si="3"/>
        <v>0</v>
      </c>
      <c r="I59" s="9">
        <f t="shared" si="2"/>
        <v>1</v>
      </c>
    </row>
    <row r="60" spans="1:9">
      <c r="A60" s="252" t="s">
        <v>266</v>
      </c>
      <c r="B60" s="252" t="s">
        <v>31</v>
      </c>
      <c r="C60" s="252" t="s">
        <v>481</v>
      </c>
      <c r="D60" s="181" t="s">
        <v>118</v>
      </c>
      <c r="E60" s="253" t="s">
        <v>289</v>
      </c>
      <c r="F60" s="181">
        <v>1</v>
      </c>
      <c r="G60" s="254">
        <f>SUMIF(Цены!$B:$B,D60,Цены!$C:$C)</f>
        <v>28.001347607999996</v>
      </c>
      <c r="H60" s="255">
        <f t="shared" ca="1" si="3"/>
        <v>0</v>
      </c>
      <c r="I60" s="9">
        <f t="shared" si="2"/>
        <v>1</v>
      </c>
    </row>
    <row r="61" spans="1:9">
      <c r="A61" s="252" t="s">
        <v>266</v>
      </c>
      <c r="B61" s="252" t="s">
        <v>31</v>
      </c>
      <c r="C61" s="252" t="s">
        <v>481</v>
      </c>
      <c r="D61" s="181" t="s">
        <v>121</v>
      </c>
      <c r="E61" s="253" t="s">
        <v>290</v>
      </c>
      <c r="F61" s="181">
        <v>1</v>
      </c>
      <c r="G61" s="254">
        <f>SUMIF(Цены!$B:$B,D61,Цены!$C:$C)</f>
        <v>28.001347607999996</v>
      </c>
      <c r="H61" s="255">
        <f t="shared" ca="1" si="3"/>
        <v>0</v>
      </c>
      <c r="I61" s="9">
        <f t="shared" si="2"/>
        <v>1</v>
      </c>
    </row>
    <row r="62" spans="1:9">
      <c r="A62" s="252" t="s">
        <v>266</v>
      </c>
      <c r="B62" s="252" t="s">
        <v>31</v>
      </c>
      <c r="C62" s="252" t="s">
        <v>481</v>
      </c>
      <c r="D62" s="181" t="s">
        <v>220</v>
      </c>
      <c r="E62" s="253" t="s">
        <v>291</v>
      </c>
      <c r="F62" s="181">
        <v>1</v>
      </c>
      <c r="G62" s="254">
        <f>SUMIF(Цены!$B:$B,D62,Цены!$C:$C)</f>
        <v>28.001347607999996</v>
      </c>
      <c r="H62" s="255">
        <f t="shared" ca="1" si="3"/>
        <v>0</v>
      </c>
      <c r="I62" s="9">
        <f t="shared" si="2"/>
        <v>1</v>
      </c>
    </row>
    <row r="63" spans="1:9">
      <c r="A63" s="252" t="s">
        <v>266</v>
      </c>
      <c r="B63" s="252" t="s">
        <v>31</v>
      </c>
      <c r="C63" s="252" t="s">
        <v>481</v>
      </c>
      <c r="D63" s="181" t="s">
        <v>223</v>
      </c>
      <c r="E63" s="253" t="s">
        <v>292</v>
      </c>
      <c r="F63" s="181">
        <v>1</v>
      </c>
      <c r="G63" s="254">
        <f>SUMIF(Цены!$B:$B,D63,Цены!$C:$C)</f>
        <v>28.001347607999996</v>
      </c>
      <c r="H63" s="255">
        <f t="shared" ca="1" si="3"/>
        <v>0</v>
      </c>
      <c r="I63" s="9">
        <f t="shared" si="2"/>
        <v>1</v>
      </c>
    </row>
    <row r="64" spans="1:9">
      <c r="A64" s="252" t="s">
        <v>266</v>
      </c>
      <c r="B64" s="252" t="s">
        <v>31</v>
      </c>
      <c r="C64" s="252" t="s">
        <v>481</v>
      </c>
      <c r="D64" s="181" t="s">
        <v>556</v>
      </c>
      <c r="E64" s="253" t="s">
        <v>558</v>
      </c>
      <c r="F64" s="181">
        <v>1</v>
      </c>
      <c r="G64" s="254">
        <f>SUMIF(Цены!$B:$B,D64,Цены!$C:$C)</f>
        <v>79.030039386999988</v>
      </c>
      <c r="H64" s="255">
        <f t="shared" ca="1" si="3"/>
        <v>0</v>
      </c>
      <c r="I64" s="9">
        <f t="shared" ref="I64:I65" si="4">COUNTIF(D:D,D64)</f>
        <v>1</v>
      </c>
    </row>
    <row r="65" spans="1:9">
      <c r="A65" s="252" t="s">
        <v>266</v>
      </c>
      <c r="B65" s="252" t="s">
        <v>31</v>
      </c>
      <c r="C65" s="252" t="s">
        <v>481</v>
      </c>
      <c r="D65" s="181" t="s">
        <v>554</v>
      </c>
      <c r="E65" s="253" t="s">
        <v>559</v>
      </c>
      <c r="F65" s="181">
        <v>1</v>
      </c>
      <c r="G65" s="254">
        <f>SUMIF(Цены!$B:$B,D65,Цены!$C:$C)</f>
        <v>79.030039386999988</v>
      </c>
      <c r="H65" s="255">
        <f t="shared" ca="1" si="3"/>
        <v>0</v>
      </c>
      <c r="I65" s="9">
        <f t="shared" si="4"/>
        <v>1</v>
      </c>
    </row>
    <row r="66" spans="1:9">
      <c r="A66" s="252" t="s">
        <v>266</v>
      </c>
      <c r="B66" s="252" t="s">
        <v>33</v>
      </c>
      <c r="C66" s="252" t="s">
        <v>481</v>
      </c>
      <c r="D66" s="181" t="s">
        <v>9</v>
      </c>
      <c r="E66" s="253" t="s">
        <v>293</v>
      </c>
      <c r="F66" s="181">
        <v>1</v>
      </c>
      <c r="G66" s="254">
        <f>SUMIF(Цены!$B:$B,D66,Цены!$C:$C)</f>
        <v>9.3573509119999994</v>
      </c>
      <c r="H66" s="255">
        <f t="shared" ca="1" si="3"/>
        <v>0</v>
      </c>
      <c r="I66" s="9">
        <f t="shared" ref="I66:I97" si="5">COUNTIF(D:D,D66)</f>
        <v>1</v>
      </c>
    </row>
    <row r="67" spans="1:9">
      <c r="A67" s="252" t="s">
        <v>266</v>
      </c>
      <c r="B67" s="252" t="s">
        <v>33</v>
      </c>
      <c r="C67" s="252" t="s">
        <v>481</v>
      </c>
      <c r="D67" s="181" t="s">
        <v>123</v>
      </c>
      <c r="E67" s="253" t="s">
        <v>294</v>
      </c>
      <c r="F67" s="181">
        <v>1</v>
      </c>
      <c r="G67" s="254">
        <f>SUMIF(Цены!$B:$B,D67,Цены!$C:$C)</f>
        <v>9.3573509119999994</v>
      </c>
      <c r="H67" s="255">
        <f t="shared" ca="1" si="3"/>
        <v>0</v>
      </c>
      <c r="I67" s="9">
        <f t="shared" si="5"/>
        <v>1</v>
      </c>
    </row>
    <row r="68" spans="1:9">
      <c r="A68" s="252" t="s">
        <v>266</v>
      </c>
      <c r="B68" s="252" t="s">
        <v>33</v>
      </c>
      <c r="C68" s="252" t="s">
        <v>481</v>
      </c>
      <c r="D68" s="181" t="s">
        <v>125</v>
      </c>
      <c r="E68" s="253" t="s">
        <v>295</v>
      </c>
      <c r="F68" s="181">
        <v>1</v>
      </c>
      <c r="G68" s="254">
        <f>SUMIF(Цены!$B:$B,D68,Цены!$C:$C)</f>
        <v>9.3573509119999994</v>
      </c>
      <c r="H68" s="255">
        <f t="shared" ca="1" si="3"/>
        <v>0</v>
      </c>
      <c r="I68" s="9">
        <f t="shared" si="5"/>
        <v>1</v>
      </c>
    </row>
    <row r="69" spans="1:9">
      <c r="A69" s="252" t="s">
        <v>266</v>
      </c>
      <c r="B69" s="252" t="s">
        <v>33</v>
      </c>
      <c r="C69" s="252" t="s">
        <v>481</v>
      </c>
      <c r="D69" s="181" t="s">
        <v>10</v>
      </c>
      <c r="E69" s="253" t="s">
        <v>296</v>
      </c>
      <c r="F69" s="181">
        <v>1</v>
      </c>
      <c r="G69" s="254">
        <f>SUMIF(Цены!$B:$B,D69,Цены!$C:$C)</f>
        <v>9.3573509119999994</v>
      </c>
      <c r="H69" s="255">
        <f t="shared" ca="1" si="3"/>
        <v>0</v>
      </c>
      <c r="I69" s="9">
        <f t="shared" si="5"/>
        <v>1</v>
      </c>
    </row>
    <row r="70" spans="1:9">
      <c r="A70" s="252" t="s">
        <v>266</v>
      </c>
      <c r="B70" s="252" t="s">
        <v>33</v>
      </c>
      <c r="C70" s="252" t="s">
        <v>481</v>
      </c>
      <c r="D70" s="181" t="s">
        <v>124</v>
      </c>
      <c r="E70" s="253" t="s">
        <v>297</v>
      </c>
      <c r="F70" s="181">
        <v>1</v>
      </c>
      <c r="G70" s="254">
        <f>SUMIF(Цены!$B:$B,D70,Цены!$C:$C)</f>
        <v>9.3573509119999994</v>
      </c>
      <c r="H70" s="255">
        <f t="shared" ca="1" si="3"/>
        <v>0</v>
      </c>
      <c r="I70" s="9">
        <f t="shared" si="5"/>
        <v>1</v>
      </c>
    </row>
    <row r="71" spans="1:9">
      <c r="A71" s="252" t="s">
        <v>266</v>
      </c>
      <c r="B71" s="252" t="s">
        <v>33</v>
      </c>
      <c r="C71" s="252" t="s">
        <v>481</v>
      </c>
      <c r="D71" s="181" t="s">
        <v>126</v>
      </c>
      <c r="E71" s="253" t="s">
        <v>298</v>
      </c>
      <c r="F71" s="181">
        <v>1</v>
      </c>
      <c r="G71" s="254">
        <f>SUMIF(Цены!$B:$B,D71,Цены!$C:$C)</f>
        <v>9.3573509119999994</v>
      </c>
      <c r="H71" s="255">
        <f t="shared" ca="1" si="3"/>
        <v>0</v>
      </c>
      <c r="I71" s="9">
        <f t="shared" si="5"/>
        <v>1</v>
      </c>
    </row>
    <row r="72" spans="1:9">
      <c r="A72" s="252" t="s">
        <v>266</v>
      </c>
      <c r="B72" s="252" t="s">
        <v>32</v>
      </c>
      <c r="C72" s="252" t="s">
        <v>481</v>
      </c>
      <c r="D72" s="181" t="s">
        <v>13</v>
      </c>
      <c r="E72" s="253" t="s">
        <v>300</v>
      </c>
      <c r="F72" s="181">
        <v>1</v>
      </c>
      <c r="G72" s="254">
        <f>SUMIF(Цены!$B:$B,D72,Цены!$C:$C)</f>
        <v>13.751018372000001</v>
      </c>
      <c r="H72" s="255">
        <f t="shared" ca="1" si="3"/>
        <v>0</v>
      </c>
      <c r="I72" s="9">
        <f t="shared" si="5"/>
        <v>1</v>
      </c>
    </row>
    <row r="73" spans="1:9">
      <c r="A73" s="252" t="s">
        <v>266</v>
      </c>
      <c r="B73" s="252" t="s">
        <v>32</v>
      </c>
      <c r="C73" s="252" t="s">
        <v>481</v>
      </c>
      <c r="D73" s="181" t="s">
        <v>132</v>
      </c>
      <c r="E73" s="253" t="s">
        <v>301</v>
      </c>
      <c r="F73" s="181">
        <v>1</v>
      </c>
      <c r="G73" s="254">
        <f>SUMIF(Цены!$B:$B,D73,Цены!$C:$C)</f>
        <v>13.751018372000001</v>
      </c>
      <c r="H73" s="255">
        <f t="shared" ca="1" si="3"/>
        <v>0</v>
      </c>
      <c r="I73" s="9">
        <f t="shared" si="5"/>
        <v>1</v>
      </c>
    </row>
    <row r="74" spans="1:9">
      <c r="A74" s="252" t="s">
        <v>266</v>
      </c>
      <c r="B74" s="252" t="s">
        <v>32</v>
      </c>
      <c r="C74" s="252" t="s">
        <v>481</v>
      </c>
      <c r="D74" s="181" t="s">
        <v>135</v>
      </c>
      <c r="E74" s="253" t="s">
        <v>302</v>
      </c>
      <c r="F74" s="181">
        <v>1</v>
      </c>
      <c r="G74" s="254">
        <f>SUMIF(Цены!$B:$B,D74,Цены!$C:$C)</f>
        <v>13.751018372000001</v>
      </c>
      <c r="H74" s="255">
        <f t="shared" ca="1" si="3"/>
        <v>0</v>
      </c>
      <c r="I74" s="9">
        <f t="shared" si="5"/>
        <v>1</v>
      </c>
    </row>
    <row r="75" spans="1:9">
      <c r="A75" s="252" t="s">
        <v>266</v>
      </c>
      <c r="B75" s="252" t="s">
        <v>32</v>
      </c>
      <c r="C75" s="252" t="s">
        <v>481</v>
      </c>
      <c r="D75" s="181" t="s">
        <v>138</v>
      </c>
      <c r="E75" s="253" t="s">
        <v>303</v>
      </c>
      <c r="F75" s="181">
        <v>1</v>
      </c>
      <c r="G75" s="254">
        <f>SUMIF(Цены!$B:$B,D75,Цены!$C:$C)</f>
        <v>13.751018372000001</v>
      </c>
      <c r="H75" s="255">
        <f t="shared" ca="1" si="3"/>
        <v>0</v>
      </c>
      <c r="I75" s="9">
        <f t="shared" si="5"/>
        <v>1</v>
      </c>
    </row>
    <row r="76" spans="1:9">
      <c r="A76" s="252" t="s">
        <v>266</v>
      </c>
      <c r="B76" s="252" t="s">
        <v>32</v>
      </c>
      <c r="C76" s="252" t="s">
        <v>481</v>
      </c>
      <c r="D76" s="181" t="s">
        <v>14</v>
      </c>
      <c r="E76" s="253" t="s">
        <v>304</v>
      </c>
      <c r="F76" s="181">
        <v>1</v>
      </c>
      <c r="G76" s="254">
        <f>SUMIF(Цены!$B:$B,D76,Цены!$C:$C)</f>
        <v>13.751018372000001</v>
      </c>
      <c r="H76" s="255">
        <f t="shared" ca="1" si="3"/>
        <v>0</v>
      </c>
      <c r="I76" s="9">
        <f t="shared" si="5"/>
        <v>1</v>
      </c>
    </row>
    <row r="77" spans="1:9">
      <c r="A77" s="252" t="s">
        <v>266</v>
      </c>
      <c r="B77" s="252" t="s">
        <v>32</v>
      </c>
      <c r="C77" s="252" t="s">
        <v>481</v>
      </c>
      <c r="D77" s="181" t="s">
        <v>133</v>
      </c>
      <c r="E77" s="253" t="s">
        <v>305</v>
      </c>
      <c r="F77" s="181">
        <v>1</v>
      </c>
      <c r="G77" s="254">
        <f>SUMIF(Цены!$B:$B,D77,Цены!$C:$C)</f>
        <v>13.751018372000001</v>
      </c>
      <c r="H77" s="255">
        <f t="shared" ca="1" si="3"/>
        <v>0</v>
      </c>
      <c r="I77" s="9">
        <f t="shared" si="5"/>
        <v>1</v>
      </c>
    </row>
    <row r="78" spans="1:9">
      <c r="A78" s="252" t="s">
        <v>266</v>
      </c>
      <c r="B78" s="252" t="s">
        <v>32</v>
      </c>
      <c r="C78" s="252" t="s">
        <v>481</v>
      </c>
      <c r="D78" s="181" t="s">
        <v>136</v>
      </c>
      <c r="E78" s="253" t="s">
        <v>306</v>
      </c>
      <c r="F78" s="181">
        <v>1</v>
      </c>
      <c r="G78" s="254">
        <f>SUMIF(Цены!$B:$B,D78,Цены!$C:$C)</f>
        <v>13.751018372000001</v>
      </c>
      <c r="H78" s="255">
        <f t="shared" ca="1" si="3"/>
        <v>0</v>
      </c>
      <c r="I78" s="9">
        <f t="shared" si="5"/>
        <v>1</v>
      </c>
    </row>
    <row r="79" spans="1:9">
      <c r="A79" s="252" t="s">
        <v>266</v>
      </c>
      <c r="B79" s="252" t="s">
        <v>32</v>
      </c>
      <c r="C79" s="252" t="s">
        <v>481</v>
      </c>
      <c r="D79" s="181" t="s">
        <v>139</v>
      </c>
      <c r="E79" s="253" t="s">
        <v>307</v>
      </c>
      <c r="F79" s="181">
        <v>1</v>
      </c>
      <c r="G79" s="254">
        <f>SUMIF(Цены!$B:$B,D79,Цены!$C:$C)</f>
        <v>13.751018372000001</v>
      </c>
      <c r="H79" s="255">
        <f t="shared" ca="1" si="3"/>
        <v>0</v>
      </c>
      <c r="I79" s="9">
        <f t="shared" si="5"/>
        <v>1</v>
      </c>
    </row>
    <row r="80" spans="1:9">
      <c r="A80" s="252" t="s">
        <v>266</v>
      </c>
      <c r="B80" s="252" t="s">
        <v>30</v>
      </c>
      <c r="C80" s="252" t="s">
        <v>481</v>
      </c>
      <c r="D80" s="181" t="s">
        <v>148</v>
      </c>
      <c r="E80" s="253" t="s">
        <v>308</v>
      </c>
      <c r="F80" s="181">
        <v>1</v>
      </c>
      <c r="G80" s="254">
        <f>SUMIF(Цены!$B:$B,D80,Цены!$C:$C)</f>
        <v>30.214093519999995</v>
      </c>
      <c r="H80" s="255">
        <f t="shared" ca="1" si="3"/>
        <v>0</v>
      </c>
      <c r="I80" s="9">
        <f t="shared" si="5"/>
        <v>1</v>
      </c>
    </row>
    <row r="81" spans="1:9">
      <c r="A81" s="252" t="s">
        <v>266</v>
      </c>
      <c r="B81" s="252" t="s">
        <v>30</v>
      </c>
      <c r="C81" s="252" t="s">
        <v>481</v>
      </c>
      <c r="D81" s="181" t="s">
        <v>151</v>
      </c>
      <c r="E81" s="253" t="s">
        <v>309</v>
      </c>
      <c r="F81" s="181">
        <v>1</v>
      </c>
      <c r="G81" s="254">
        <f>SUMIF(Цены!$B:$B,D81,Цены!$C:$C)</f>
        <v>30.214093519999995</v>
      </c>
      <c r="H81" s="255">
        <f t="shared" ca="1" si="3"/>
        <v>0</v>
      </c>
      <c r="I81" s="9">
        <f t="shared" si="5"/>
        <v>1</v>
      </c>
    </row>
    <row r="82" spans="1:9">
      <c r="A82" s="252" t="s">
        <v>266</v>
      </c>
      <c r="B82" s="252" t="s">
        <v>30</v>
      </c>
      <c r="C82" s="252" t="s">
        <v>481</v>
      </c>
      <c r="D82" s="181" t="s">
        <v>154</v>
      </c>
      <c r="E82" s="253" t="s">
        <v>310</v>
      </c>
      <c r="F82" s="181">
        <v>1</v>
      </c>
      <c r="G82" s="254">
        <f>SUMIF(Цены!$B:$B,D82,Цены!$C:$C)</f>
        <v>30.214093519999995</v>
      </c>
      <c r="H82" s="255">
        <f t="shared" ca="1" si="3"/>
        <v>0</v>
      </c>
      <c r="I82" s="9">
        <f t="shared" si="5"/>
        <v>1</v>
      </c>
    </row>
    <row r="83" spans="1:9">
      <c r="A83" s="252" t="s">
        <v>266</v>
      </c>
      <c r="B83" s="252" t="s">
        <v>30</v>
      </c>
      <c r="C83" s="252" t="s">
        <v>481</v>
      </c>
      <c r="D83" s="181" t="s">
        <v>157</v>
      </c>
      <c r="E83" s="253" t="s">
        <v>311</v>
      </c>
      <c r="F83" s="181">
        <v>1</v>
      </c>
      <c r="G83" s="254">
        <f>SUMIF(Цены!$B:$B,D83,Цены!$C:$C)</f>
        <v>30.214093519999995</v>
      </c>
      <c r="H83" s="255">
        <f t="shared" ca="1" si="3"/>
        <v>0</v>
      </c>
      <c r="I83" s="9">
        <f t="shared" si="5"/>
        <v>1</v>
      </c>
    </row>
    <row r="84" spans="1:9">
      <c r="A84" s="252" t="s">
        <v>266</v>
      </c>
      <c r="B84" s="252" t="s">
        <v>30</v>
      </c>
      <c r="C84" s="252" t="s">
        <v>481</v>
      </c>
      <c r="D84" s="181" t="s">
        <v>25</v>
      </c>
      <c r="E84" s="253" t="s">
        <v>312</v>
      </c>
      <c r="F84" s="181">
        <v>1</v>
      </c>
      <c r="G84" s="254">
        <f>SUMIF(Цены!$B:$B,D84,Цены!$C:$C)</f>
        <v>30.214093519999995</v>
      </c>
      <c r="H84" s="255">
        <f t="shared" ca="1" si="3"/>
        <v>0</v>
      </c>
      <c r="I84" s="9">
        <f t="shared" si="5"/>
        <v>1</v>
      </c>
    </row>
    <row r="85" spans="1:9">
      <c r="A85" s="252" t="s">
        <v>266</v>
      </c>
      <c r="B85" s="252" t="s">
        <v>30</v>
      </c>
      <c r="C85" s="252" t="s">
        <v>481</v>
      </c>
      <c r="D85" s="181" t="s">
        <v>149</v>
      </c>
      <c r="E85" s="253" t="s">
        <v>313</v>
      </c>
      <c r="F85" s="181">
        <v>1</v>
      </c>
      <c r="G85" s="254">
        <f>SUMIF(Цены!$B:$B,D85,Цены!$C:$C)</f>
        <v>30.214093519999995</v>
      </c>
      <c r="H85" s="255">
        <f t="shared" ca="1" si="3"/>
        <v>0</v>
      </c>
      <c r="I85" s="9">
        <f t="shared" si="5"/>
        <v>1</v>
      </c>
    </row>
    <row r="86" spans="1:9">
      <c r="A86" s="252" t="s">
        <v>266</v>
      </c>
      <c r="B86" s="252" t="s">
        <v>30</v>
      </c>
      <c r="C86" s="252" t="s">
        <v>481</v>
      </c>
      <c r="D86" s="181" t="s">
        <v>152</v>
      </c>
      <c r="E86" s="253" t="s">
        <v>314</v>
      </c>
      <c r="F86" s="181">
        <v>1</v>
      </c>
      <c r="G86" s="254">
        <f>SUMIF(Цены!$B:$B,D86,Цены!$C:$C)</f>
        <v>30.214093519999995</v>
      </c>
      <c r="H86" s="255">
        <f t="shared" ca="1" si="3"/>
        <v>0</v>
      </c>
      <c r="I86" s="9">
        <f t="shared" si="5"/>
        <v>1</v>
      </c>
    </row>
    <row r="87" spans="1:9">
      <c r="A87" s="252" t="s">
        <v>266</v>
      </c>
      <c r="B87" s="252" t="s">
        <v>30</v>
      </c>
      <c r="C87" s="252" t="s">
        <v>481</v>
      </c>
      <c r="D87" s="181" t="s">
        <v>155</v>
      </c>
      <c r="E87" s="253" t="s">
        <v>315</v>
      </c>
      <c r="F87" s="181">
        <v>1</v>
      </c>
      <c r="G87" s="254">
        <f>SUMIF(Цены!$B:$B,D87,Цены!$C:$C)</f>
        <v>30.214093519999995</v>
      </c>
      <c r="H87" s="255">
        <f t="shared" ca="1" si="3"/>
        <v>0</v>
      </c>
      <c r="I87" s="9">
        <f t="shared" si="5"/>
        <v>1</v>
      </c>
    </row>
    <row r="88" spans="1:9">
      <c r="A88" s="252" t="s">
        <v>266</v>
      </c>
      <c r="B88" s="252" t="s">
        <v>30</v>
      </c>
      <c r="C88" s="252" t="s">
        <v>481</v>
      </c>
      <c r="D88" s="181" t="s">
        <v>158</v>
      </c>
      <c r="E88" s="253" t="s">
        <v>316</v>
      </c>
      <c r="F88" s="181">
        <v>1</v>
      </c>
      <c r="G88" s="254">
        <f>SUMIF(Цены!$B:$B,D88,Цены!$C:$C)</f>
        <v>30.214093519999995</v>
      </c>
      <c r="H88" s="255">
        <f t="shared" ca="1" si="3"/>
        <v>0</v>
      </c>
      <c r="I88" s="9">
        <f t="shared" si="5"/>
        <v>1</v>
      </c>
    </row>
    <row r="89" spans="1:9">
      <c r="A89" s="252" t="s">
        <v>266</v>
      </c>
      <c r="B89" s="252" t="s">
        <v>30</v>
      </c>
      <c r="C89" s="252" t="s">
        <v>481</v>
      </c>
      <c r="D89" s="181" t="s">
        <v>26</v>
      </c>
      <c r="E89" s="253" t="s">
        <v>317</v>
      </c>
      <c r="F89" s="181">
        <v>1</v>
      </c>
      <c r="G89" s="254">
        <f>SUMIF(Цены!$B:$B,D89,Цены!$C:$C)</f>
        <v>30.214093519999995</v>
      </c>
      <c r="H89" s="255">
        <f t="shared" ca="1" si="3"/>
        <v>0</v>
      </c>
      <c r="I89" s="9">
        <f t="shared" si="5"/>
        <v>1</v>
      </c>
    </row>
    <row r="90" spans="1:9">
      <c r="A90" s="252" t="s">
        <v>266</v>
      </c>
      <c r="B90" s="252" t="s">
        <v>36</v>
      </c>
      <c r="C90" s="252" t="s">
        <v>481</v>
      </c>
      <c r="D90" s="181" t="s">
        <v>163</v>
      </c>
      <c r="E90" s="253" t="s">
        <v>318</v>
      </c>
      <c r="F90" s="181">
        <v>1</v>
      </c>
      <c r="G90" s="254">
        <f>SUMIF(Цены!$B:$B,D90,Цены!$C:$C)</f>
        <v>33.452896750000001</v>
      </c>
      <c r="H90" s="255">
        <f t="shared" ca="1" si="3"/>
        <v>0</v>
      </c>
      <c r="I90" s="9">
        <f t="shared" si="5"/>
        <v>1</v>
      </c>
    </row>
    <row r="91" spans="1:9">
      <c r="A91" s="252" t="s">
        <v>266</v>
      </c>
      <c r="B91" s="252" t="s">
        <v>36</v>
      </c>
      <c r="C91" s="252" t="s">
        <v>481</v>
      </c>
      <c r="D91" s="181" t="s">
        <v>166</v>
      </c>
      <c r="E91" s="253" t="s">
        <v>319</v>
      </c>
      <c r="F91" s="181">
        <v>1</v>
      </c>
      <c r="G91" s="254">
        <f>SUMIF(Цены!$B:$B,D91,Цены!$C:$C)</f>
        <v>33.452896750000001</v>
      </c>
      <c r="H91" s="255">
        <f t="shared" ca="1" si="3"/>
        <v>0</v>
      </c>
      <c r="I91" s="9">
        <f t="shared" si="5"/>
        <v>1</v>
      </c>
    </row>
    <row r="92" spans="1:9">
      <c r="A92" s="252" t="s">
        <v>266</v>
      </c>
      <c r="B92" s="252" t="s">
        <v>36</v>
      </c>
      <c r="C92" s="252" t="s">
        <v>481</v>
      </c>
      <c r="D92" s="181" t="s">
        <v>169</v>
      </c>
      <c r="E92" s="253" t="s">
        <v>320</v>
      </c>
      <c r="F92" s="181">
        <v>1</v>
      </c>
      <c r="G92" s="254">
        <f>SUMIF(Цены!$B:$B,D92,Цены!$C:$C)</f>
        <v>33.452896750000001</v>
      </c>
      <c r="H92" s="255">
        <f t="shared" ca="1" si="3"/>
        <v>0</v>
      </c>
      <c r="I92" s="9">
        <f t="shared" si="5"/>
        <v>1</v>
      </c>
    </row>
    <row r="93" spans="1:9">
      <c r="A93" s="252" t="s">
        <v>266</v>
      </c>
      <c r="B93" s="252" t="s">
        <v>36</v>
      </c>
      <c r="C93" s="252" t="s">
        <v>481</v>
      </c>
      <c r="D93" s="181" t="s">
        <v>172</v>
      </c>
      <c r="E93" s="253" t="s">
        <v>321</v>
      </c>
      <c r="F93" s="181">
        <v>1</v>
      </c>
      <c r="G93" s="254">
        <f>SUMIF(Цены!$B:$B,D93,Цены!$C:$C)</f>
        <v>33.452896750000001</v>
      </c>
      <c r="H93" s="255">
        <f t="shared" ca="1" si="3"/>
        <v>0</v>
      </c>
      <c r="I93" s="9">
        <f t="shared" si="5"/>
        <v>1</v>
      </c>
    </row>
    <row r="94" spans="1:9">
      <c r="A94" s="252" t="s">
        <v>266</v>
      </c>
      <c r="B94" s="252" t="s">
        <v>36</v>
      </c>
      <c r="C94" s="252" t="s">
        <v>481</v>
      </c>
      <c r="D94" s="181" t="s">
        <v>37</v>
      </c>
      <c r="E94" s="253" t="s">
        <v>322</v>
      </c>
      <c r="F94" s="181">
        <v>1</v>
      </c>
      <c r="G94" s="254">
        <f>SUMIF(Цены!$B:$B,D94,Цены!$C:$C)</f>
        <v>33.452896750000001</v>
      </c>
      <c r="H94" s="255">
        <f t="shared" ca="1" si="3"/>
        <v>0</v>
      </c>
      <c r="I94" s="9">
        <f t="shared" si="5"/>
        <v>1</v>
      </c>
    </row>
    <row r="95" spans="1:9">
      <c r="A95" s="252" t="s">
        <v>266</v>
      </c>
      <c r="B95" s="252" t="s">
        <v>36</v>
      </c>
      <c r="C95" s="252" t="s">
        <v>481</v>
      </c>
      <c r="D95" s="181" t="s">
        <v>176</v>
      </c>
      <c r="E95" s="253" t="s">
        <v>323</v>
      </c>
      <c r="F95" s="181">
        <v>1</v>
      </c>
      <c r="G95" s="254">
        <f>SUMIF(Цены!$B:$B,D95,Цены!$C:$C)</f>
        <v>33.452896750000001</v>
      </c>
      <c r="H95" s="255">
        <f t="shared" ca="1" si="3"/>
        <v>0</v>
      </c>
      <c r="I95" s="9">
        <f t="shared" si="5"/>
        <v>1</v>
      </c>
    </row>
    <row r="96" spans="1:9">
      <c r="A96" s="252" t="s">
        <v>266</v>
      </c>
      <c r="B96" s="252" t="s">
        <v>36</v>
      </c>
      <c r="C96" s="252" t="s">
        <v>481</v>
      </c>
      <c r="D96" s="181" t="s">
        <v>164</v>
      </c>
      <c r="E96" s="253" t="s">
        <v>324</v>
      </c>
      <c r="F96" s="181">
        <v>1</v>
      </c>
      <c r="G96" s="254">
        <f>SUMIF(Цены!$B:$B,D96,Цены!$C:$C)</f>
        <v>33.452896750000001</v>
      </c>
      <c r="H96" s="255">
        <f t="shared" ca="1" si="3"/>
        <v>0</v>
      </c>
      <c r="I96" s="9">
        <f t="shared" si="5"/>
        <v>1</v>
      </c>
    </row>
    <row r="97" spans="1:9">
      <c r="A97" s="252" t="s">
        <v>266</v>
      </c>
      <c r="B97" s="252" t="s">
        <v>36</v>
      </c>
      <c r="C97" s="252" t="s">
        <v>481</v>
      </c>
      <c r="D97" s="181" t="s">
        <v>167</v>
      </c>
      <c r="E97" s="253" t="s">
        <v>325</v>
      </c>
      <c r="F97" s="181">
        <v>1</v>
      </c>
      <c r="G97" s="254">
        <f>SUMIF(Цены!$B:$B,D97,Цены!$C:$C)</f>
        <v>33.452896750000001</v>
      </c>
      <c r="H97" s="255">
        <f t="shared" ca="1" si="3"/>
        <v>0</v>
      </c>
      <c r="I97" s="9">
        <f t="shared" si="5"/>
        <v>1</v>
      </c>
    </row>
    <row r="98" spans="1:9">
      <c r="A98" s="252" t="s">
        <v>266</v>
      </c>
      <c r="B98" s="252" t="s">
        <v>36</v>
      </c>
      <c r="C98" s="252" t="s">
        <v>481</v>
      </c>
      <c r="D98" s="181" t="s">
        <v>170</v>
      </c>
      <c r="E98" s="253" t="s">
        <v>326</v>
      </c>
      <c r="F98" s="181">
        <v>1</v>
      </c>
      <c r="G98" s="254">
        <f>SUMIF(Цены!$B:$B,D98,Цены!$C:$C)</f>
        <v>33.452896750000001</v>
      </c>
      <c r="H98" s="255">
        <f t="shared" ca="1" si="3"/>
        <v>0</v>
      </c>
      <c r="I98" s="9">
        <f t="shared" ref="I98:I128" si="6">COUNTIF(D:D,D98)</f>
        <v>1</v>
      </c>
    </row>
    <row r="99" spans="1:9">
      <c r="A99" s="252" t="s">
        <v>266</v>
      </c>
      <c r="B99" s="252" t="s">
        <v>36</v>
      </c>
      <c r="C99" s="252" t="s">
        <v>481</v>
      </c>
      <c r="D99" s="181" t="s">
        <v>173</v>
      </c>
      <c r="E99" s="253" t="s">
        <v>327</v>
      </c>
      <c r="F99" s="181">
        <v>1</v>
      </c>
      <c r="G99" s="254">
        <f>SUMIF(Цены!$B:$B,D99,Цены!$C:$C)</f>
        <v>33.452896750000001</v>
      </c>
      <c r="H99" s="255">
        <f t="shared" ca="1" si="3"/>
        <v>0</v>
      </c>
      <c r="I99" s="9">
        <f t="shared" si="6"/>
        <v>1</v>
      </c>
    </row>
    <row r="100" spans="1:9">
      <c r="A100" s="252" t="s">
        <v>266</v>
      </c>
      <c r="B100" s="252" t="s">
        <v>36</v>
      </c>
      <c r="C100" s="252" t="s">
        <v>481</v>
      </c>
      <c r="D100" s="181" t="s">
        <v>38</v>
      </c>
      <c r="E100" s="253" t="s">
        <v>328</v>
      </c>
      <c r="F100" s="181">
        <v>1</v>
      </c>
      <c r="G100" s="254">
        <f>SUMIF(Цены!$B:$B,D100,Цены!$C:$C)</f>
        <v>33.452896750000001</v>
      </c>
      <c r="H100" s="255">
        <f t="shared" ca="1" si="3"/>
        <v>0</v>
      </c>
      <c r="I100" s="9">
        <f t="shared" si="6"/>
        <v>1</v>
      </c>
    </row>
    <row r="101" spans="1:9">
      <c r="A101" s="252" t="s">
        <v>266</v>
      </c>
      <c r="B101" s="252" t="s">
        <v>36</v>
      </c>
      <c r="C101" s="252" t="s">
        <v>481</v>
      </c>
      <c r="D101" s="181" t="s">
        <v>177</v>
      </c>
      <c r="E101" s="253" t="s">
        <v>329</v>
      </c>
      <c r="F101" s="181">
        <v>1</v>
      </c>
      <c r="G101" s="254">
        <f>SUMIF(Цены!$B:$B,D101,Цены!$C:$C)</f>
        <v>33.452896750000001</v>
      </c>
      <c r="H101" s="255">
        <f t="shared" ca="1" si="3"/>
        <v>0</v>
      </c>
      <c r="I101" s="9">
        <f t="shared" si="6"/>
        <v>1</v>
      </c>
    </row>
    <row r="102" spans="1:9">
      <c r="A102" s="252" t="s">
        <v>266</v>
      </c>
      <c r="B102" s="252" t="s">
        <v>48</v>
      </c>
      <c r="C102" s="252" t="s">
        <v>481</v>
      </c>
      <c r="D102" s="181" t="s">
        <v>180</v>
      </c>
      <c r="E102" s="253" t="s">
        <v>330</v>
      </c>
      <c r="F102" s="181">
        <v>1</v>
      </c>
      <c r="G102" s="254">
        <f>SUMIF(Цены!$B:$B,D102,Цены!$C:$C)</f>
        <v>6.0329221030000006</v>
      </c>
      <c r="H102" s="255">
        <f t="shared" ca="1" si="3"/>
        <v>0</v>
      </c>
      <c r="I102" s="9">
        <f t="shared" si="6"/>
        <v>1</v>
      </c>
    </row>
    <row r="103" spans="1:9">
      <c r="A103" s="252" t="s">
        <v>266</v>
      </c>
      <c r="B103" s="252" t="s">
        <v>48</v>
      </c>
      <c r="C103" s="252" t="s">
        <v>481</v>
      </c>
      <c r="D103" s="181" t="s">
        <v>182</v>
      </c>
      <c r="E103" s="253" t="s">
        <v>331</v>
      </c>
      <c r="F103" s="181">
        <v>1</v>
      </c>
      <c r="G103" s="254">
        <f>SUMIF(Цены!$B:$B,D103,Цены!$C:$C)</f>
        <v>6.0329221030000006</v>
      </c>
      <c r="H103" s="255">
        <f t="shared" ca="1" si="3"/>
        <v>0</v>
      </c>
      <c r="I103" s="9">
        <f t="shared" si="6"/>
        <v>1</v>
      </c>
    </row>
    <row r="104" spans="1:9">
      <c r="A104" s="252" t="s">
        <v>266</v>
      </c>
      <c r="B104" s="252" t="s">
        <v>48</v>
      </c>
      <c r="C104" s="252" t="s">
        <v>481</v>
      </c>
      <c r="D104" s="181" t="s">
        <v>184</v>
      </c>
      <c r="E104" s="253" t="s">
        <v>332</v>
      </c>
      <c r="F104" s="181">
        <v>1</v>
      </c>
      <c r="G104" s="254">
        <f>SUMIF(Цены!$B:$B,D104,Цены!$C:$C)</f>
        <v>6.0329221030000006</v>
      </c>
      <c r="H104" s="255">
        <f t="shared" ca="1" si="3"/>
        <v>0</v>
      </c>
      <c r="I104" s="9">
        <f t="shared" si="6"/>
        <v>1</v>
      </c>
    </row>
    <row r="105" spans="1:9">
      <c r="A105" s="252" t="s">
        <v>266</v>
      </c>
      <c r="B105" s="252" t="s">
        <v>48</v>
      </c>
      <c r="C105" s="252" t="s">
        <v>481</v>
      </c>
      <c r="D105" s="181" t="s">
        <v>181</v>
      </c>
      <c r="E105" s="253" t="s">
        <v>333</v>
      </c>
      <c r="F105" s="181">
        <v>1</v>
      </c>
      <c r="G105" s="254">
        <f>SUMIF(Цены!$B:$B,D105,Цены!$C:$C)</f>
        <v>6.0329221030000006</v>
      </c>
      <c r="H105" s="255">
        <f t="shared" ca="1" si="3"/>
        <v>0</v>
      </c>
      <c r="I105" s="9">
        <f t="shared" si="6"/>
        <v>1</v>
      </c>
    </row>
    <row r="106" spans="1:9">
      <c r="A106" s="252" t="s">
        <v>266</v>
      </c>
      <c r="B106" s="252" t="s">
        <v>48</v>
      </c>
      <c r="C106" s="252" t="s">
        <v>481</v>
      </c>
      <c r="D106" s="181" t="s">
        <v>183</v>
      </c>
      <c r="E106" s="253" t="s">
        <v>334</v>
      </c>
      <c r="F106" s="181">
        <v>1</v>
      </c>
      <c r="G106" s="254">
        <f>SUMIF(Цены!$B:$B,D106,Цены!$C:$C)</f>
        <v>6.0329221030000006</v>
      </c>
      <c r="H106" s="255">
        <f t="shared" ca="1" si="3"/>
        <v>0</v>
      </c>
      <c r="I106" s="9">
        <f t="shared" si="6"/>
        <v>1</v>
      </c>
    </row>
    <row r="107" spans="1:9">
      <c r="A107" s="252" t="s">
        <v>266</v>
      </c>
      <c r="B107" s="252" t="s">
        <v>48</v>
      </c>
      <c r="C107" s="252" t="s">
        <v>481</v>
      </c>
      <c r="D107" s="181" t="s">
        <v>185</v>
      </c>
      <c r="E107" s="253" t="s">
        <v>335</v>
      </c>
      <c r="F107" s="181">
        <v>1</v>
      </c>
      <c r="G107" s="254">
        <f>SUMIF(Цены!$B:$B,D107,Цены!$C:$C)</f>
        <v>6.0329221030000006</v>
      </c>
      <c r="H107" s="255">
        <f t="shared" ca="1" si="3"/>
        <v>0</v>
      </c>
      <c r="I107" s="9">
        <f t="shared" si="6"/>
        <v>1</v>
      </c>
    </row>
    <row r="108" spans="1:9">
      <c r="A108" s="252" t="s">
        <v>266</v>
      </c>
      <c r="B108" s="252" t="s">
        <v>40</v>
      </c>
      <c r="C108" s="252" t="s">
        <v>481</v>
      </c>
      <c r="D108" s="181" t="s">
        <v>41</v>
      </c>
      <c r="E108" s="253" t="s">
        <v>336</v>
      </c>
      <c r="F108" s="181">
        <v>1</v>
      </c>
      <c r="G108" s="254">
        <f>SUMIF(Цены!$B:$B,D108,Цены!$C:$C)</f>
        <v>14.833381927</v>
      </c>
      <c r="H108" s="255">
        <f t="shared" ca="1" si="3"/>
        <v>0</v>
      </c>
      <c r="I108" s="9">
        <f t="shared" si="6"/>
        <v>1</v>
      </c>
    </row>
    <row r="109" spans="1:9">
      <c r="A109" s="252" t="s">
        <v>266</v>
      </c>
      <c r="B109" s="252" t="s">
        <v>40</v>
      </c>
      <c r="C109" s="252" t="s">
        <v>481</v>
      </c>
      <c r="D109" s="181" t="s">
        <v>145</v>
      </c>
      <c r="E109" s="253" t="s">
        <v>337</v>
      </c>
      <c r="F109" s="181">
        <v>1</v>
      </c>
      <c r="G109" s="254">
        <f>SUMIF(Цены!$B:$B,D109,Цены!$C:$C)</f>
        <v>15.392972087999999</v>
      </c>
      <c r="H109" s="255">
        <f t="shared" ca="1" si="3"/>
        <v>0</v>
      </c>
      <c r="I109" s="9">
        <f t="shared" si="6"/>
        <v>1</v>
      </c>
    </row>
    <row r="110" spans="1:9">
      <c r="A110" s="252" t="s">
        <v>266</v>
      </c>
      <c r="B110" s="252" t="s">
        <v>40</v>
      </c>
      <c r="C110" s="252" t="s">
        <v>481</v>
      </c>
      <c r="D110" s="181" t="s">
        <v>146</v>
      </c>
      <c r="E110" s="253" t="s">
        <v>338</v>
      </c>
      <c r="F110" s="181">
        <v>1</v>
      </c>
      <c r="G110" s="254">
        <f>SUMIF(Цены!$B:$B,D110,Цены!$C:$C)</f>
        <v>15.939684318999998</v>
      </c>
      <c r="H110" s="255">
        <f t="shared" ca="1" si="3"/>
        <v>0</v>
      </c>
      <c r="I110" s="9">
        <f t="shared" si="6"/>
        <v>1</v>
      </c>
    </row>
    <row r="111" spans="1:9">
      <c r="A111" s="252" t="s">
        <v>266</v>
      </c>
      <c r="B111" s="252" t="s">
        <v>40</v>
      </c>
      <c r="C111" s="252" t="s">
        <v>481</v>
      </c>
      <c r="D111" s="181" t="s">
        <v>147</v>
      </c>
      <c r="E111" s="253" t="s">
        <v>339</v>
      </c>
      <c r="F111" s="181">
        <v>1</v>
      </c>
      <c r="G111" s="254">
        <f>SUMIF(Цены!$B:$B,D111,Цены!$C:$C)</f>
        <v>16.314943670999998</v>
      </c>
      <c r="H111" s="255">
        <f t="shared" ca="1" si="3"/>
        <v>0</v>
      </c>
      <c r="I111" s="9">
        <f t="shared" si="6"/>
        <v>1</v>
      </c>
    </row>
    <row r="112" spans="1:9">
      <c r="A112" s="252" t="s">
        <v>266</v>
      </c>
      <c r="B112" s="252" t="s">
        <v>341</v>
      </c>
      <c r="C112" s="252" t="s">
        <v>481</v>
      </c>
      <c r="D112" s="181" t="s">
        <v>44</v>
      </c>
      <c r="E112" s="253" t="s">
        <v>340</v>
      </c>
      <c r="F112" s="181">
        <v>1</v>
      </c>
      <c r="G112" s="254">
        <f>SUMIF(Цены!$B:$B,D112,Цены!$C:$C)</f>
        <v>3.8256978239999992</v>
      </c>
      <c r="H112" s="255">
        <f t="shared" ca="1" si="3"/>
        <v>0</v>
      </c>
      <c r="I112" s="9">
        <f t="shared" si="6"/>
        <v>1</v>
      </c>
    </row>
    <row r="113" spans="1:9">
      <c r="A113" s="252" t="s">
        <v>266</v>
      </c>
      <c r="B113" s="252" t="s">
        <v>341</v>
      </c>
      <c r="C113" s="252" t="s">
        <v>481</v>
      </c>
      <c r="D113" s="181" t="s">
        <v>508</v>
      </c>
      <c r="E113" s="253" t="s">
        <v>509</v>
      </c>
      <c r="F113" s="181">
        <v>1</v>
      </c>
      <c r="G113" s="254">
        <f>SUMIF(Цены!$B:$B,D113,Цены!$C:$C)</f>
        <v>7.9405492789999998</v>
      </c>
      <c r="H113" s="255">
        <f ca="1">G113*$H$1</f>
        <v>0</v>
      </c>
      <c r="I113" s="9">
        <f t="shared" si="6"/>
        <v>1</v>
      </c>
    </row>
    <row r="114" spans="1:9">
      <c r="A114" s="252"/>
      <c r="B114" s="252"/>
      <c r="C114" s="252"/>
      <c r="D114" s="181" t="s">
        <v>342</v>
      </c>
      <c r="E114" s="253" t="s">
        <v>343</v>
      </c>
      <c r="F114" s="181">
        <v>1</v>
      </c>
      <c r="G114" s="254">
        <v>0</v>
      </c>
      <c r="H114" s="255">
        <v>0</v>
      </c>
      <c r="I114" s="9">
        <f t="shared" si="6"/>
        <v>1</v>
      </c>
    </row>
    <row r="115" spans="1:9">
      <c r="A115" s="252"/>
      <c r="B115" s="252"/>
      <c r="C115" s="252"/>
      <c r="D115" s="181"/>
      <c r="E115" s="253"/>
      <c r="F115" s="181"/>
      <c r="G115" s="254"/>
      <c r="H115" s="255"/>
      <c r="I115" s="9">
        <f t="shared" si="6"/>
        <v>1</v>
      </c>
    </row>
    <row r="116" spans="1:9">
      <c r="A116" s="252"/>
      <c r="B116" s="252"/>
      <c r="C116" s="252"/>
      <c r="D116" s="181"/>
      <c r="E116" s="253"/>
      <c r="F116" s="181"/>
      <c r="G116" s="254"/>
      <c r="H116" s="255"/>
      <c r="I116" s="9">
        <f t="shared" si="6"/>
        <v>1</v>
      </c>
    </row>
    <row r="117" spans="1:9">
      <c r="A117" s="252"/>
      <c r="B117" s="252"/>
      <c r="C117" s="252"/>
      <c r="D117" s="181" t="s">
        <v>349</v>
      </c>
      <c r="E117" s="253" t="s">
        <v>350</v>
      </c>
      <c r="F117" s="181">
        <v>1</v>
      </c>
      <c r="G117" s="254">
        <f>SUMIF(Цены!$B:$B,D117,Цены!$C:$C)</f>
        <v>1.8754852739999999</v>
      </c>
      <c r="H117" s="255">
        <f t="shared" ca="1" si="3"/>
        <v>0</v>
      </c>
      <c r="I117" s="9">
        <f t="shared" si="6"/>
        <v>1</v>
      </c>
    </row>
    <row r="118" spans="1:9">
      <c r="A118" s="252"/>
      <c r="B118" s="252"/>
      <c r="C118" s="252"/>
      <c r="D118" s="181" t="s">
        <v>352</v>
      </c>
      <c r="E118" s="253" t="s">
        <v>351</v>
      </c>
      <c r="F118" s="181">
        <v>1</v>
      </c>
      <c r="G118" s="254">
        <f>SUMIF(Цены!$B:$B,D118,Цены!$C:$C)</f>
        <v>1.8754852739999999</v>
      </c>
      <c r="H118" s="255">
        <f t="shared" ca="1" si="3"/>
        <v>0</v>
      </c>
      <c r="I118" s="9">
        <f t="shared" si="6"/>
        <v>1</v>
      </c>
    </row>
    <row r="119" spans="1:9">
      <c r="A119" s="252" t="s">
        <v>266</v>
      </c>
      <c r="B119" s="252" t="s">
        <v>30</v>
      </c>
      <c r="C119" s="252" t="s">
        <v>30</v>
      </c>
      <c r="D119" s="181" t="s">
        <v>355</v>
      </c>
      <c r="E119" s="253" t="s">
        <v>356</v>
      </c>
      <c r="F119" s="181">
        <v>1</v>
      </c>
      <c r="G119" s="254">
        <f>SUMIF(Цены!$B:$B,D119,Цены!$C:$C)</f>
        <v>2.9159514539999996</v>
      </c>
      <c r="H119" s="255">
        <f t="shared" ca="1" si="3"/>
        <v>0</v>
      </c>
      <c r="I119" s="9">
        <f t="shared" si="6"/>
        <v>1</v>
      </c>
    </row>
    <row r="120" spans="1:9">
      <c r="A120" s="252" t="s">
        <v>266</v>
      </c>
      <c r="B120" s="252" t="s">
        <v>32</v>
      </c>
      <c r="C120" s="252" t="s">
        <v>32</v>
      </c>
      <c r="D120" s="181" t="s">
        <v>357</v>
      </c>
      <c r="E120" s="253" t="s">
        <v>358</v>
      </c>
      <c r="F120" s="181">
        <v>1</v>
      </c>
      <c r="G120" s="254">
        <f>SUMIF(Цены!$B:$B,D120,Цены!$C:$C)</f>
        <v>2.2045881000000001</v>
      </c>
      <c r="H120" s="255">
        <f t="shared" ca="1" si="3"/>
        <v>0</v>
      </c>
      <c r="I120" s="9">
        <f t="shared" si="6"/>
        <v>1</v>
      </c>
    </row>
    <row r="121" spans="1:9">
      <c r="A121" s="252" t="s">
        <v>266</v>
      </c>
      <c r="B121" s="252" t="s">
        <v>33</v>
      </c>
      <c r="C121" s="252" t="s">
        <v>33</v>
      </c>
      <c r="D121" s="181" t="s">
        <v>359</v>
      </c>
      <c r="E121" s="253" t="s">
        <v>360</v>
      </c>
      <c r="F121" s="181">
        <v>1</v>
      </c>
      <c r="G121" s="254">
        <f>SUMIF(Цены!$B:$B,D121,Цены!$C:$C)</f>
        <v>2.11245606</v>
      </c>
      <c r="H121" s="255">
        <f t="shared" ca="1" si="3"/>
        <v>0</v>
      </c>
      <c r="I121" s="9">
        <f t="shared" si="6"/>
        <v>1</v>
      </c>
    </row>
    <row r="122" spans="1:9">
      <c r="A122" s="252" t="s">
        <v>266</v>
      </c>
      <c r="B122" s="252" t="s">
        <v>31</v>
      </c>
      <c r="C122" s="252" t="s">
        <v>31</v>
      </c>
      <c r="D122" s="181" t="s">
        <v>361</v>
      </c>
      <c r="E122" s="253" t="s">
        <v>362</v>
      </c>
      <c r="F122" s="181">
        <v>1</v>
      </c>
      <c r="G122" s="254">
        <f>SUMIF(Цены!$B:$B,D122,Цены!$C:$C)</f>
        <v>2.5350070980000003</v>
      </c>
      <c r="H122" s="255">
        <f t="shared" ca="1" si="3"/>
        <v>0</v>
      </c>
      <c r="I122" s="9">
        <f t="shared" si="6"/>
        <v>1</v>
      </c>
    </row>
    <row r="123" spans="1:9">
      <c r="A123" s="252" t="s">
        <v>266</v>
      </c>
      <c r="B123" s="252" t="s">
        <v>480</v>
      </c>
      <c r="C123" s="252" t="s">
        <v>530</v>
      </c>
      <c r="D123" s="181" t="s">
        <v>519</v>
      </c>
      <c r="E123" s="253" t="s">
        <v>525</v>
      </c>
      <c r="F123" s="181">
        <v>1</v>
      </c>
      <c r="G123" s="254">
        <f>SUMIF(Цены!$B:$B,D123,Цены!$C:$C)</f>
        <v>3.1864409069999993</v>
      </c>
      <c r="H123" s="255">
        <f t="shared" ref="H123:H125" ca="1" si="7">G123*$H$1</f>
        <v>0</v>
      </c>
      <c r="I123" s="9">
        <f t="shared" si="6"/>
        <v>1</v>
      </c>
    </row>
    <row r="124" spans="1:9">
      <c r="A124" s="252" t="s">
        <v>266</v>
      </c>
      <c r="B124" s="252" t="s">
        <v>480</v>
      </c>
      <c r="C124" s="252" t="s">
        <v>530</v>
      </c>
      <c r="D124" s="181" t="s">
        <v>520</v>
      </c>
      <c r="E124" s="253" t="s">
        <v>526</v>
      </c>
      <c r="F124" s="181">
        <v>1</v>
      </c>
      <c r="G124" s="254">
        <f>SUMIF(Цены!$B:$B,D124,Цены!$C:$C)</f>
        <v>3.1864409069999993</v>
      </c>
      <c r="H124" s="255">
        <f t="shared" ca="1" si="7"/>
        <v>0</v>
      </c>
      <c r="I124" s="9">
        <f t="shared" si="6"/>
        <v>1</v>
      </c>
    </row>
    <row r="125" spans="1:9">
      <c r="A125" s="252" t="s">
        <v>266</v>
      </c>
      <c r="B125" s="252" t="s">
        <v>480</v>
      </c>
      <c r="C125" s="252" t="s">
        <v>530</v>
      </c>
      <c r="D125" s="181" t="s">
        <v>521</v>
      </c>
      <c r="E125" s="253" t="s">
        <v>527</v>
      </c>
      <c r="F125" s="181">
        <v>1</v>
      </c>
      <c r="G125" s="254">
        <f>SUMIF(Цены!$B:$B,D125,Цены!$C:$C)</f>
        <v>3.1864409069999993</v>
      </c>
      <c r="H125" s="255">
        <f t="shared" ca="1" si="7"/>
        <v>0</v>
      </c>
      <c r="I125" s="9">
        <f t="shared" si="6"/>
        <v>1</v>
      </c>
    </row>
    <row r="126" spans="1:9">
      <c r="A126" s="252" t="s">
        <v>266</v>
      </c>
      <c r="B126" s="252" t="s">
        <v>480</v>
      </c>
      <c r="C126" s="252" t="s">
        <v>530</v>
      </c>
      <c r="D126" s="181" t="s">
        <v>522</v>
      </c>
      <c r="E126" s="253" t="s">
        <v>525</v>
      </c>
      <c r="F126" s="181">
        <v>1</v>
      </c>
      <c r="G126" s="254">
        <f>SUMIF(Цены!$B:$B,D126,Цены!$C:$C)</f>
        <v>3.176120922</v>
      </c>
      <c r="H126" s="255">
        <f t="shared" ref="H126:H128" ca="1" si="8">G126*$H$1</f>
        <v>0</v>
      </c>
      <c r="I126" s="9">
        <f t="shared" si="6"/>
        <v>1</v>
      </c>
    </row>
    <row r="127" spans="1:9">
      <c r="A127" s="252" t="s">
        <v>266</v>
      </c>
      <c r="B127" s="252" t="s">
        <v>480</v>
      </c>
      <c r="C127" s="252" t="s">
        <v>530</v>
      </c>
      <c r="D127" s="181" t="s">
        <v>523</v>
      </c>
      <c r="E127" s="253" t="s">
        <v>526</v>
      </c>
      <c r="F127" s="181">
        <v>1</v>
      </c>
      <c r="G127" s="254">
        <f>SUMIF(Цены!$B:$B,D127,Цены!$C:$C)</f>
        <v>3.1759797939999994</v>
      </c>
      <c r="H127" s="255">
        <f t="shared" ca="1" si="8"/>
        <v>0</v>
      </c>
      <c r="I127" s="9">
        <f t="shared" si="6"/>
        <v>1</v>
      </c>
    </row>
    <row r="128" spans="1:9">
      <c r="A128" s="252" t="s">
        <v>266</v>
      </c>
      <c r="B128" s="252" t="s">
        <v>480</v>
      </c>
      <c r="C128" s="252" t="s">
        <v>530</v>
      </c>
      <c r="D128" s="181" t="s">
        <v>524</v>
      </c>
      <c r="E128" s="253" t="s">
        <v>527</v>
      </c>
      <c r="F128" s="181">
        <v>1</v>
      </c>
      <c r="G128" s="254">
        <f>SUMIF(Цены!$B:$B,D128,Цены!$C:$C)</f>
        <v>3.1834595779999999</v>
      </c>
      <c r="H128" s="255">
        <f t="shared" ca="1" si="8"/>
        <v>0</v>
      </c>
      <c r="I128" s="9">
        <f t="shared" si="6"/>
        <v>1</v>
      </c>
    </row>
    <row r="129" spans="1:9">
      <c r="A129" s="252" t="s">
        <v>266</v>
      </c>
      <c r="B129" s="252" t="s">
        <v>480</v>
      </c>
      <c r="C129" s="252" t="s">
        <v>530</v>
      </c>
      <c r="D129" s="181" t="s">
        <v>528</v>
      </c>
      <c r="E129" s="253" t="s">
        <v>529</v>
      </c>
      <c r="F129" s="181">
        <v>1</v>
      </c>
      <c r="G129" s="254">
        <f>SUMIF(Цены!$B:$B,D129,Цены!$C:$C)</f>
        <v>1.237569073</v>
      </c>
      <c r="H129" s="255">
        <f t="shared" ref="H129" ca="1" si="9">G129*$H$1</f>
        <v>0</v>
      </c>
    </row>
    <row r="130" spans="1:9">
      <c r="A130" s="252" t="s">
        <v>266</v>
      </c>
      <c r="B130" s="252" t="s">
        <v>480</v>
      </c>
      <c r="C130" s="252" t="s">
        <v>530</v>
      </c>
      <c r="D130" s="181" t="s">
        <v>539</v>
      </c>
      <c r="E130" s="253" t="s">
        <v>541</v>
      </c>
      <c r="F130" s="181">
        <v>1</v>
      </c>
      <c r="G130" s="254">
        <f>SUMIF(Цены!$B:$B,D130,Цены!$C:$C)</f>
        <v>4.4643549469999995</v>
      </c>
      <c r="H130" s="255">
        <f t="shared" ref="H130:H132" ca="1" si="10">G130*$H$1</f>
        <v>0</v>
      </c>
    </row>
    <row r="131" spans="1:9">
      <c r="A131" s="252" t="s">
        <v>266</v>
      </c>
      <c r="B131" s="252" t="s">
        <v>480</v>
      </c>
      <c r="C131" s="252" t="s">
        <v>530</v>
      </c>
      <c r="D131" s="181" t="s">
        <v>540</v>
      </c>
      <c r="E131" s="253" t="s">
        <v>542</v>
      </c>
      <c r="F131" s="181">
        <v>1</v>
      </c>
      <c r="G131" s="254">
        <f>SUMIF(Цены!$B:$B,D131,Цены!$C:$C)</f>
        <v>4.6892247739999995</v>
      </c>
      <c r="H131" s="255">
        <f t="shared" ca="1" si="10"/>
        <v>0</v>
      </c>
    </row>
    <row r="132" spans="1:9">
      <c r="A132" s="252" t="s">
        <v>266</v>
      </c>
      <c r="B132" s="252" t="s">
        <v>480</v>
      </c>
      <c r="C132" s="252" t="s">
        <v>530</v>
      </c>
      <c r="D132" s="181" t="s">
        <v>543</v>
      </c>
      <c r="E132" s="253" t="s">
        <v>544</v>
      </c>
      <c r="F132" s="181">
        <v>1</v>
      </c>
      <c r="G132" s="254">
        <f>SUMIF(Цены!$B:$B,D132,Цены!$C:$C)</f>
        <v>4.4643549469999995</v>
      </c>
      <c r="H132" s="255">
        <f t="shared" ca="1" si="10"/>
        <v>0</v>
      </c>
    </row>
    <row r="133" spans="1:9">
      <c r="A133" s="252" t="s">
        <v>266</v>
      </c>
      <c r="B133" s="252" t="s">
        <v>480</v>
      </c>
      <c r="C133" s="252" t="s">
        <v>530</v>
      </c>
      <c r="D133" s="181" t="s">
        <v>545</v>
      </c>
      <c r="E133" s="253" t="s">
        <v>546</v>
      </c>
      <c r="F133" s="181">
        <v>1</v>
      </c>
      <c r="G133" s="254">
        <f>SUMIF(Цены!$B:$B,D133,Цены!$C:$C)</f>
        <v>0.29915607799999994</v>
      </c>
      <c r="H133" s="255">
        <f t="shared" ref="H133" ca="1" si="11">G133*$H$1</f>
        <v>0</v>
      </c>
    </row>
    <row r="134" spans="1:9">
      <c r="A134" s="252"/>
      <c r="B134" s="252"/>
      <c r="C134" s="252"/>
      <c r="D134" s="181"/>
      <c r="E134" s="253"/>
      <c r="F134" s="181"/>
      <c r="G134" s="254"/>
      <c r="H134" s="255"/>
    </row>
    <row r="135" spans="1:9">
      <c r="A135" s="252"/>
      <c r="B135" s="252"/>
      <c r="C135" s="252"/>
      <c r="D135" s="181"/>
      <c r="E135" s="253"/>
      <c r="F135" s="181"/>
      <c r="G135" s="254"/>
      <c r="H135" s="255"/>
    </row>
    <row r="136" spans="1:9">
      <c r="A136" s="252"/>
      <c r="B136" s="252"/>
      <c r="C136" s="252"/>
      <c r="D136" s="181" t="s">
        <v>402</v>
      </c>
      <c r="E136" s="253" t="s">
        <v>403</v>
      </c>
      <c r="F136" s="181">
        <v>1</v>
      </c>
      <c r="G136" s="254">
        <f>SUMIF(Цены!$B:$B,D136,Цены!$C:$C)</f>
        <v>0</v>
      </c>
      <c r="H136" s="255">
        <f ca="1">G136*$H$1</f>
        <v>0</v>
      </c>
      <c r="I136" s="9">
        <f t="shared" ref="I136:I164" si="12">COUNTIF(D:D,D136)</f>
        <v>1</v>
      </c>
    </row>
    <row r="137" spans="1:9">
      <c r="A137" s="252"/>
      <c r="B137" s="252"/>
      <c r="C137" s="252"/>
      <c r="D137" s="181"/>
      <c r="E137" s="253"/>
      <c r="F137" s="181"/>
      <c r="G137" s="254"/>
      <c r="H137" s="255"/>
      <c r="I137" s="9">
        <f t="shared" si="12"/>
        <v>1</v>
      </c>
    </row>
    <row r="138" spans="1:9">
      <c r="A138" s="252"/>
      <c r="B138" s="252"/>
      <c r="C138" s="252"/>
      <c r="D138" s="181"/>
      <c r="E138" s="253"/>
      <c r="F138" s="181"/>
      <c r="G138" s="254"/>
      <c r="H138" s="255"/>
      <c r="I138" s="9">
        <f t="shared" si="12"/>
        <v>1</v>
      </c>
    </row>
    <row r="139" spans="1:9">
      <c r="A139" s="252"/>
      <c r="B139" s="252"/>
      <c r="C139" s="252"/>
      <c r="D139" s="181"/>
      <c r="E139" s="253"/>
      <c r="F139" s="181"/>
      <c r="G139" s="254"/>
      <c r="H139" s="255"/>
      <c r="I139" s="9">
        <f t="shared" si="12"/>
        <v>1</v>
      </c>
    </row>
    <row r="140" spans="1:9">
      <c r="A140" s="252"/>
      <c r="B140" s="252"/>
      <c r="C140" s="252"/>
      <c r="D140" s="181"/>
      <c r="E140" s="253"/>
      <c r="F140" s="181"/>
      <c r="G140" s="254"/>
      <c r="H140" s="255"/>
      <c r="I140" s="9">
        <f t="shared" si="12"/>
        <v>1</v>
      </c>
    </row>
    <row r="141" spans="1:9">
      <c r="A141" s="252" t="s">
        <v>258</v>
      </c>
      <c r="B141" s="252" t="s">
        <v>258</v>
      </c>
      <c r="C141" s="252" t="s">
        <v>258</v>
      </c>
      <c r="D141" s="181" t="str">
        <f>Петли!E3</f>
        <v>329.03.640</v>
      </c>
      <c r="E141" s="260" t="str">
        <f>Петли!F3</f>
        <v>Петля Duomatic Standard угол раскрытия  120 , для накладной двери, схема  52/5,5мм</v>
      </c>
      <c r="F141" s="181"/>
      <c r="G141" s="254">
        <f>SUMIF(Цены!$B:$B,D141,Цены!$C:$C)</f>
        <v>1.7241784169999994</v>
      </c>
      <c r="H141" s="255">
        <f ca="1">G141*$H$1</f>
        <v>0</v>
      </c>
      <c r="I141" s="9">
        <f t="shared" si="12"/>
        <v>1</v>
      </c>
    </row>
    <row r="142" spans="1:9">
      <c r="A142" s="252" t="s">
        <v>258</v>
      </c>
      <c r="B142" s="252" t="s">
        <v>258</v>
      </c>
      <c r="C142" s="252" t="s">
        <v>472</v>
      </c>
      <c r="D142" s="181" t="str">
        <f>Петли!E4</f>
        <v>329.73.503</v>
      </c>
      <c r="E142" s="260" t="str">
        <f>Петли!F4</f>
        <v>Монтажная планка Hafele Duomatic SM, крестовая, быстрый монтаж</v>
      </c>
      <c r="F142" s="181"/>
      <c r="G142" s="254">
        <f>SUMIF(Цены!$B:$B,D142,Цены!$C:$C)</f>
        <v>0.64867721099999986</v>
      </c>
      <c r="H142" s="255">
        <f t="shared" ref="H142:H152" ca="1" si="13">G142*$H$1</f>
        <v>0</v>
      </c>
      <c r="I142" s="9">
        <f t="shared" si="12"/>
        <v>3</v>
      </c>
    </row>
    <row r="143" spans="1:9">
      <c r="A143" s="252" t="s">
        <v>258</v>
      </c>
      <c r="B143" s="252" t="s">
        <v>258</v>
      </c>
      <c r="C143" s="252" t="s">
        <v>258</v>
      </c>
      <c r="D143" s="181" t="str">
        <f>Петли!E5</f>
        <v>318.40.543</v>
      </c>
      <c r="E143" s="260" t="str">
        <f>Петли!F5</f>
        <v>Петля Metallamat 110⁰ для накладной двери, 52/5,5, быстрый монтаж</v>
      </c>
      <c r="F143" s="181"/>
      <c r="G143" s="254">
        <f>SUMIF(Цены!$B:$B,D143,Цены!$C:$C)</f>
        <v>0.6749975829999999</v>
      </c>
      <c r="H143" s="255">
        <f t="shared" ca="1" si="13"/>
        <v>0</v>
      </c>
      <c r="I143" s="9">
        <f t="shared" si="12"/>
        <v>1</v>
      </c>
    </row>
    <row r="144" spans="1:9">
      <c r="A144" s="252" t="s">
        <v>258</v>
      </c>
      <c r="B144" s="252" t="s">
        <v>258</v>
      </c>
      <c r="C144" s="252" t="s">
        <v>472</v>
      </c>
      <c r="D144" s="181" t="str">
        <f>Петли!E6</f>
        <v>318.61.506</v>
      </c>
      <c r="E144" s="260" t="str">
        <f>Петли!F6</f>
        <v>Крестовые монтаж планки Metallamat SM, быстр. монтаж, высота 6 мм</v>
      </c>
      <c r="F144" s="181"/>
      <c r="G144" s="254">
        <f>SUMIF(Цены!$B:$B,D144,Цены!$C:$C)</f>
        <v>0.13634728899999998</v>
      </c>
      <c r="H144" s="255">
        <f t="shared" ca="1" si="13"/>
        <v>0</v>
      </c>
      <c r="I144" s="9">
        <f t="shared" si="12"/>
        <v>1</v>
      </c>
    </row>
    <row r="145" spans="1:9">
      <c r="A145" s="252" t="s">
        <v>258</v>
      </c>
      <c r="B145" s="252" t="s">
        <v>258</v>
      </c>
      <c r="C145" s="252" t="s">
        <v>258</v>
      </c>
      <c r="D145" s="181" t="str">
        <f>Петли!E7</f>
        <v>329.17.700</v>
      </c>
      <c r="E145" s="260" t="str">
        <f>Петли!F7</f>
        <v>Петля Duomatic Premium с доводчиком 110 гр. для накладной двери, схема 48/6 мм</v>
      </c>
      <c r="F145" s="181"/>
      <c r="G145" s="254">
        <f>SUMIF(Цены!$B:$B,D145,Цены!$C:$C)</f>
        <v>2.2770297159999995</v>
      </c>
      <c r="H145" s="255">
        <f t="shared" ca="1" si="13"/>
        <v>0</v>
      </c>
      <c r="I145" s="9">
        <f t="shared" si="12"/>
        <v>2</v>
      </c>
    </row>
    <row r="146" spans="1:9">
      <c r="A146" s="252" t="s">
        <v>258</v>
      </c>
      <c r="B146" s="252" t="s">
        <v>258</v>
      </c>
      <c r="C146" s="252" t="s">
        <v>472</v>
      </c>
      <c r="D146" s="181" t="str">
        <f>Петли!E8</f>
        <v>329.73.503</v>
      </c>
      <c r="E146" s="260" t="str">
        <f>Петли!F8</f>
        <v>Монтажная планка Hafele Duomatic SM, крестовая, быстрый монтаж</v>
      </c>
      <c r="F146" s="181"/>
      <c r="G146" s="254">
        <f>SUMIF(Цены!$B:$B,D146,Цены!$C:$C)</f>
        <v>0.64867721099999986</v>
      </c>
      <c r="H146" s="255">
        <f t="shared" ca="1" si="13"/>
        <v>0</v>
      </c>
      <c r="I146" s="9">
        <f t="shared" si="12"/>
        <v>3</v>
      </c>
    </row>
    <row r="147" spans="1:9">
      <c r="A147" s="252" t="s">
        <v>258</v>
      </c>
      <c r="B147" s="252" t="s">
        <v>258</v>
      </c>
      <c r="C147" s="252" t="s">
        <v>258</v>
      </c>
      <c r="D147" s="181" t="str">
        <f>Петли!E9</f>
        <v>329.17.600</v>
      </c>
      <c r="E147" s="260" t="str">
        <f>Петли!F9</f>
        <v>Петля Duomatic Standard 110 гр. для накладной двери, схема 48/6 мм</v>
      </c>
      <c r="F147" s="181"/>
      <c r="G147" s="254">
        <f>SUMIF(Цены!$B:$B,D147,Цены!$C:$C)</f>
        <v>1.2719513819999999</v>
      </c>
      <c r="H147" s="255">
        <f t="shared" ca="1" si="13"/>
        <v>0</v>
      </c>
      <c r="I147" s="9">
        <f t="shared" si="12"/>
        <v>3</v>
      </c>
    </row>
    <row r="148" spans="1:9">
      <c r="A148" s="252" t="s">
        <v>258</v>
      </c>
      <c r="B148" s="252" t="s">
        <v>258</v>
      </c>
      <c r="C148" s="252" t="s">
        <v>472</v>
      </c>
      <c r="D148" s="181" t="str">
        <f>Петли!E10</f>
        <v>316.51.502</v>
      </c>
      <c r="E148" s="260" t="str">
        <f>Петли!F10</f>
        <v>Монтажная планка Hafele Duomatic SM, крестовая, быстрый монтаж</v>
      </c>
      <c r="F148" s="181"/>
      <c r="G148" s="254">
        <f>SUMIF(Цены!$B:$B,D148,Цены!$C:$C)</f>
        <v>0.12422792199999998</v>
      </c>
      <c r="H148" s="255">
        <f t="shared" ca="1" si="13"/>
        <v>0</v>
      </c>
      <c r="I148" s="9">
        <f t="shared" si="12"/>
        <v>6</v>
      </c>
    </row>
    <row r="149" spans="1:9">
      <c r="A149" s="252" t="s">
        <v>258</v>
      </c>
      <c r="B149" s="252" t="s">
        <v>258</v>
      </c>
      <c r="C149" s="252" t="s">
        <v>258</v>
      </c>
      <c r="D149" s="181" t="str">
        <f>Петли!E11</f>
        <v>311.60.515</v>
      </c>
      <c r="E149" s="260" t="str">
        <f>Петли!F11</f>
        <v>Петля Metalla SM Kombi, угол откр 110. для накладных дв. Схема 52/5,5 с амортизатором</v>
      </c>
      <c r="F149" s="181"/>
      <c r="G149" s="254">
        <f>SUMIF(Цены!$B:$B,D149,Цены!$C:$C)</f>
        <v>2.0297558189999996</v>
      </c>
      <c r="H149" s="255">
        <f t="shared" ca="1" si="13"/>
        <v>0</v>
      </c>
      <c r="I149" s="9">
        <f t="shared" si="12"/>
        <v>2</v>
      </c>
    </row>
    <row r="150" spans="1:9">
      <c r="A150" s="252" t="s">
        <v>258</v>
      </c>
      <c r="B150" s="252" t="s">
        <v>258</v>
      </c>
      <c r="C150" s="252" t="s">
        <v>472</v>
      </c>
      <c r="D150" s="181" t="str">
        <f>Петли!E12</f>
        <v>311.71.540</v>
      </c>
      <c r="E150" s="260" t="str">
        <f>Петли!F12</f>
        <v>Монтажная планка Hafele Metalla SM Kombi, быстрого монтажа высота 0 мм, под шурупы</v>
      </c>
      <c r="F150" s="181"/>
      <c r="G150" s="254">
        <f>SUMIF(Цены!$B:$B,D150,Цены!$C:$C)</f>
        <v>0.23605422099999998</v>
      </c>
      <c r="H150" s="255">
        <f t="shared" ca="1" si="13"/>
        <v>0</v>
      </c>
      <c r="I150" s="9">
        <f t="shared" si="12"/>
        <v>2</v>
      </c>
    </row>
    <row r="151" spans="1:9">
      <c r="A151" s="252" t="s">
        <v>258</v>
      </c>
      <c r="B151" s="252" t="s">
        <v>258</v>
      </c>
      <c r="C151" s="252" t="s">
        <v>258</v>
      </c>
      <c r="D151" s="181" t="str">
        <f>Петли!E13</f>
        <v>316.30.500</v>
      </c>
      <c r="E151" s="260" t="str">
        <f>Петли!F13</f>
        <v>Петля Metallamat 110⁰ для накладной двери, 48/6, монтаж задвижением</v>
      </c>
      <c r="F151" s="181"/>
      <c r="G151" s="254">
        <f>SUMIF(Цены!$B:$B,D151,Цены!$C:$C)</f>
        <v>0.34669857300000001</v>
      </c>
      <c r="H151" s="255">
        <f t="shared" ca="1" si="13"/>
        <v>0</v>
      </c>
      <c r="I151" s="9">
        <f t="shared" si="12"/>
        <v>3</v>
      </c>
    </row>
    <row r="152" spans="1:9">
      <c r="A152" s="252" t="s">
        <v>258</v>
      </c>
      <c r="B152" s="252" t="s">
        <v>258</v>
      </c>
      <c r="C152" s="252" t="s">
        <v>472</v>
      </c>
      <c r="D152" s="181" t="str">
        <f>Петли!E14</f>
        <v>316.51.502</v>
      </c>
      <c r="E152" s="260" t="str">
        <f>Петли!F14</f>
        <v>Крестовая монтажная планка Metallamat А (тех задвиж.) (для шурупов) высота 2 мм</v>
      </c>
      <c r="F152" s="181"/>
      <c r="G152" s="254">
        <f>SUMIF(Цены!$B:$B,D152,Цены!$C:$C)</f>
        <v>0.12422792199999998</v>
      </c>
      <c r="H152" s="255">
        <f t="shared" ca="1" si="13"/>
        <v>0</v>
      </c>
      <c r="I152" s="9">
        <f t="shared" si="12"/>
        <v>6</v>
      </c>
    </row>
    <row r="153" spans="1:9">
      <c r="A153" s="252" t="s">
        <v>258</v>
      </c>
      <c r="B153" s="252" t="s">
        <v>258</v>
      </c>
      <c r="C153" s="252" t="s">
        <v>258</v>
      </c>
      <c r="D153" s="181" t="str">
        <f>Петли!E15</f>
        <v>329.17.600</v>
      </c>
      <c r="E153" s="260" t="str">
        <f>Петли!F15</f>
        <v>Петля Duomatic Standard 110 гр. для накладной двери, схема 48/6 мм</v>
      </c>
      <c r="F153" s="181"/>
      <c r="G153" s="254">
        <f>SUMIF(Цены!$B:$B,D153,Цены!$C:$C)</f>
        <v>1.2719513819999999</v>
      </c>
      <c r="H153" s="255">
        <f t="shared" ref="H153:H158" ca="1" si="14">G153*$H$1</f>
        <v>0</v>
      </c>
      <c r="I153" s="9">
        <f t="shared" si="12"/>
        <v>3</v>
      </c>
    </row>
    <row r="154" spans="1:9">
      <c r="A154" s="252" t="s">
        <v>258</v>
      </c>
      <c r="B154" s="252" t="s">
        <v>258</v>
      </c>
      <c r="C154" s="252" t="s">
        <v>472</v>
      </c>
      <c r="D154" s="181" t="str">
        <f>Петли!E16</f>
        <v>316.51.502</v>
      </c>
      <c r="E154" s="260" t="str">
        <f>Петли!F16</f>
        <v>Монтажная планка Hafele Duomatic SM, крестовая, быстрый монтаж</v>
      </c>
      <c r="F154" s="181"/>
      <c r="G154" s="254">
        <f>SUMIF(Цены!$B:$B,D154,Цены!$C:$C)</f>
        <v>0.12422792199999998</v>
      </c>
      <c r="H154" s="255">
        <f t="shared" ca="1" si="14"/>
        <v>0</v>
      </c>
      <c r="I154" s="9">
        <f t="shared" si="12"/>
        <v>6</v>
      </c>
    </row>
    <row r="155" spans="1:9">
      <c r="A155" s="252" t="s">
        <v>258</v>
      </c>
      <c r="B155" s="252" t="s">
        <v>258</v>
      </c>
      <c r="C155" s="252" t="s">
        <v>258</v>
      </c>
      <c r="D155" s="181" t="str">
        <f>Петли!E17</f>
        <v>316.30.500</v>
      </c>
      <c r="E155" s="260" t="str">
        <f>Петли!F17</f>
        <v>Петля Metallamat 110⁰ для накладной двери, 48/6, монтаж задвижением</v>
      </c>
      <c r="F155" s="181"/>
      <c r="G155" s="254">
        <f>SUMIF(Цены!$B:$B,D155,Цены!$C:$C)</f>
        <v>0.34669857300000001</v>
      </c>
      <c r="H155" s="255">
        <f t="shared" ca="1" si="14"/>
        <v>0</v>
      </c>
      <c r="I155" s="9">
        <f t="shared" si="12"/>
        <v>3</v>
      </c>
    </row>
    <row r="156" spans="1:9">
      <c r="A156" s="252" t="s">
        <v>258</v>
      </c>
      <c r="B156" s="252" t="s">
        <v>258</v>
      </c>
      <c r="C156" s="252" t="s">
        <v>472</v>
      </c>
      <c r="D156" s="181" t="str">
        <f>Петли!E18</f>
        <v>316.51.502</v>
      </c>
      <c r="E156" s="260" t="str">
        <f>Петли!F18</f>
        <v>Крестовая монтажная планка Metallamat А (тех задвиж.) (для шурупов) высота 2 мм</v>
      </c>
      <c r="F156" s="181"/>
      <c r="G156" s="254">
        <f>SUMIF(Цены!$B:$B,D156,Цены!$C:$C)</f>
        <v>0.12422792199999998</v>
      </c>
      <c r="H156" s="255">
        <f t="shared" ca="1" si="14"/>
        <v>0</v>
      </c>
      <c r="I156" s="9">
        <f t="shared" si="12"/>
        <v>6</v>
      </c>
    </row>
    <row r="157" spans="1:9">
      <c r="A157" s="252" t="s">
        <v>258</v>
      </c>
      <c r="B157" s="252" t="s">
        <v>258</v>
      </c>
      <c r="C157" s="252" t="s">
        <v>258</v>
      </c>
      <c r="D157" s="181" t="str">
        <f>Петли!E19</f>
        <v>329.17.700</v>
      </c>
      <c r="E157" s="260" t="str">
        <f>Петли!F19</f>
        <v>Петля Duomatic Premium с доводчиком 110 гр. для накладной двери, схема 48/6 мм</v>
      </c>
      <c r="F157" s="181"/>
      <c r="G157" s="254">
        <f>SUMIF(Цены!$B:$B,D157,Цены!$C:$C)</f>
        <v>2.2770297159999995</v>
      </c>
      <c r="H157" s="255">
        <f t="shared" ca="1" si="14"/>
        <v>0</v>
      </c>
      <c r="I157" s="9">
        <f t="shared" si="12"/>
        <v>2</v>
      </c>
    </row>
    <row r="158" spans="1:9">
      <c r="A158" s="252" t="s">
        <v>258</v>
      </c>
      <c r="B158" s="252" t="s">
        <v>258</v>
      </c>
      <c r="C158" s="252" t="s">
        <v>472</v>
      </c>
      <c r="D158" s="181" t="str">
        <f>Петли!E20</f>
        <v>329.73.503</v>
      </c>
      <c r="E158" s="260" t="str">
        <f>Петли!F20</f>
        <v>Монтажная планка Hafele Duomatic SM, крестовая, быстрый монтаж</v>
      </c>
      <c r="F158" s="181"/>
      <c r="G158" s="254">
        <f>SUMIF(Цены!$B:$B,D158,Цены!$C:$C)</f>
        <v>0.64867721099999986</v>
      </c>
      <c r="H158" s="255">
        <f t="shared" ca="1" si="14"/>
        <v>0</v>
      </c>
      <c r="I158" s="9">
        <f t="shared" si="12"/>
        <v>3</v>
      </c>
    </row>
    <row r="159" spans="1:9">
      <c r="A159" s="252"/>
      <c r="B159" s="252"/>
      <c r="C159" s="252"/>
      <c r="D159" s="181" t="str">
        <f>Петли!E21</f>
        <v>329.17.600</v>
      </c>
      <c r="E159" s="260" t="str">
        <f>Петли!F21</f>
        <v>Петля Duomatic Standard 110 гр. для накладной двери, схема 48/6 мм</v>
      </c>
      <c r="F159" s="181"/>
      <c r="G159" s="254">
        <f>SUMIF(Цены!$B:$B,D159,Цены!$C:$C)</f>
        <v>1.2719513819999999</v>
      </c>
      <c r="H159" s="255">
        <f t="shared" ref="H159:H164" ca="1" si="15">G159*$H$1</f>
        <v>0</v>
      </c>
      <c r="I159" s="9">
        <f t="shared" si="12"/>
        <v>3</v>
      </c>
    </row>
    <row r="160" spans="1:9">
      <c r="A160" s="252"/>
      <c r="B160" s="252"/>
      <c r="C160" s="252"/>
      <c r="D160" s="181" t="str">
        <f>Петли!E22</f>
        <v>316.51.502</v>
      </c>
      <c r="E160" s="260" t="str">
        <f>Петли!F22</f>
        <v>Монтажная планка Hafele Duomatic SM, крестовая, быстрый монтаж</v>
      </c>
      <c r="F160" s="181"/>
      <c r="G160" s="254">
        <f>SUMIF(Цены!$B:$B,D160,Цены!$C:$C)</f>
        <v>0.12422792199999998</v>
      </c>
      <c r="H160" s="255">
        <f t="shared" ca="1" si="15"/>
        <v>0</v>
      </c>
      <c r="I160" s="9">
        <f t="shared" si="12"/>
        <v>6</v>
      </c>
    </row>
    <row r="161" spans="1:9">
      <c r="A161" s="252"/>
      <c r="B161" s="252"/>
      <c r="C161" s="252"/>
      <c r="D161" s="181" t="str">
        <f>Петли!E23</f>
        <v>311.60.515</v>
      </c>
      <c r="E161" s="260" t="str">
        <f>Петли!F23</f>
        <v>Петля Metalla SM Kombi, угол откр 110. для накладных дв. Схема 52/5,5 с амортизатором</v>
      </c>
      <c r="F161" s="181"/>
      <c r="G161" s="254">
        <f>SUMIF(Цены!$B:$B,D161,Цены!$C:$C)</f>
        <v>2.0297558189999996</v>
      </c>
      <c r="H161" s="255">
        <f t="shared" ca="1" si="15"/>
        <v>0</v>
      </c>
      <c r="I161" s="9">
        <f t="shared" si="12"/>
        <v>2</v>
      </c>
    </row>
    <row r="162" spans="1:9">
      <c r="A162" s="252"/>
      <c r="B162" s="252"/>
      <c r="C162" s="252"/>
      <c r="D162" s="181" t="str">
        <f>Петли!E24</f>
        <v>311.71.540</v>
      </c>
      <c r="E162" s="260" t="str">
        <f>Петли!F24</f>
        <v>Монтажная планка Hafele Metalla SM Kombi, быстрого монтажа высота 0 мм, под шурупы</v>
      </c>
      <c r="F162" s="181"/>
      <c r="G162" s="254">
        <f>SUMIF(Цены!$B:$B,D162,Цены!$C:$C)</f>
        <v>0.23605422099999998</v>
      </c>
      <c r="H162" s="255">
        <f t="shared" ca="1" si="15"/>
        <v>0</v>
      </c>
      <c r="I162" s="9">
        <f t="shared" si="12"/>
        <v>2</v>
      </c>
    </row>
    <row r="163" spans="1:9">
      <c r="A163" s="252"/>
      <c r="B163" s="252"/>
      <c r="C163" s="252"/>
      <c r="D163" s="181" t="str">
        <f>Петли!E25</f>
        <v>316.30.500</v>
      </c>
      <c r="E163" s="260" t="str">
        <f>Петли!F25</f>
        <v>Петля Metallamat 110⁰ для накладной двери, 48/6, монтаж задвижением</v>
      </c>
      <c r="F163" s="181"/>
      <c r="G163" s="254">
        <f>SUMIF(Цены!$B:$B,D163,Цены!$C:$C)</f>
        <v>0.34669857300000001</v>
      </c>
      <c r="H163" s="255">
        <f t="shared" ca="1" si="15"/>
        <v>0</v>
      </c>
      <c r="I163" s="9">
        <f t="shared" si="12"/>
        <v>3</v>
      </c>
    </row>
    <row r="164" spans="1:9">
      <c r="A164" s="252"/>
      <c r="B164" s="252"/>
      <c r="C164" s="252"/>
      <c r="D164" s="181" t="str">
        <f>Петли!E26</f>
        <v>316.51.502</v>
      </c>
      <c r="E164" s="260" t="str">
        <f>Петли!F26</f>
        <v>Крестовая монтажная планка Metallamat А (тех задвиж.) (для шурупов) высота 2 мм</v>
      </c>
      <c r="F164" s="181"/>
      <c r="G164" s="254">
        <f>SUMIF(Цены!$B:$B,D164,Цены!$C:$C)</f>
        <v>0.12422792199999998</v>
      </c>
      <c r="H164" s="255">
        <f t="shared" ca="1" si="15"/>
        <v>0</v>
      </c>
      <c r="I164" s="9">
        <f t="shared" si="12"/>
        <v>6</v>
      </c>
    </row>
    <row r="165" spans="1:9">
      <c r="A165" s="252"/>
      <c r="B165" s="252"/>
      <c r="C165" s="252"/>
      <c r="D165" s="181" t="s">
        <v>551</v>
      </c>
      <c r="E165" s="253" t="s">
        <v>552</v>
      </c>
      <c r="F165" s="181"/>
      <c r="G165" s="254">
        <f>SUMIF(Цены!$B:$B,D165,Цены!$C:$C)</f>
        <v>2.6883119899999999</v>
      </c>
      <c r="H165" s="255">
        <f t="shared" ref="H165" ca="1" si="16">G165*$H$1</f>
        <v>0</v>
      </c>
    </row>
    <row r="166" spans="1:9">
      <c r="A166" s="252"/>
      <c r="B166" s="252"/>
      <c r="C166" s="252"/>
      <c r="D166" s="181">
        <f>Петли!E27</f>
        <v>0</v>
      </c>
      <c r="E166" s="260">
        <f>Петли!F27</f>
        <v>0</v>
      </c>
      <c r="F166" s="181"/>
      <c r="G166" s="254"/>
      <c r="H166" s="255"/>
      <c r="I166" s="9">
        <f t="shared" ref="I166:I197" si="17">COUNTIF(D:D,D166)</f>
        <v>1</v>
      </c>
    </row>
    <row r="167" spans="1:9">
      <c r="A167" s="252"/>
      <c r="B167" s="252"/>
      <c r="C167" s="252"/>
      <c r="D167" s="181"/>
      <c r="E167" s="253"/>
      <c r="F167" s="181"/>
      <c r="G167" s="254"/>
      <c r="H167" s="255"/>
      <c r="I167" s="9">
        <f t="shared" si="17"/>
        <v>1</v>
      </c>
    </row>
    <row r="168" spans="1:9">
      <c r="A168" s="252"/>
      <c r="B168" s="252"/>
      <c r="C168" s="252"/>
      <c r="D168" s="181"/>
      <c r="E168" s="253"/>
      <c r="F168" s="181"/>
      <c r="G168" s="254"/>
      <c r="H168" s="255"/>
      <c r="I168" s="9">
        <f t="shared" si="17"/>
        <v>1</v>
      </c>
    </row>
    <row r="169" spans="1:9">
      <c r="A169" s="252"/>
      <c r="B169" s="252"/>
      <c r="C169" s="252"/>
      <c r="D169" s="181"/>
      <c r="E169" s="253"/>
      <c r="F169" s="181"/>
      <c r="G169" s="254"/>
      <c r="H169" s="255"/>
      <c r="I169" s="9">
        <f t="shared" si="17"/>
        <v>1</v>
      </c>
    </row>
    <row r="170" spans="1:9">
      <c r="A170" s="252"/>
      <c r="B170" s="252"/>
      <c r="C170" s="252"/>
      <c r="D170" s="181"/>
      <c r="E170" s="253"/>
      <c r="F170" s="181"/>
      <c r="G170" s="254"/>
      <c r="H170" s="255"/>
      <c r="I170" s="9">
        <f t="shared" si="17"/>
        <v>1</v>
      </c>
    </row>
    <row r="171" spans="1:9">
      <c r="A171" s="252"/>
      <c r="B171" s="252"/>
      <c r="C171" s="252"/>
      <c r="D171" s="181"/>
      <c r="E171" s="253"/>
      <c r="F171" s="181"/>
      <c r="G171" s="254"/>
      <c r="H171" s="255"/>
      <c r="I171" s="9">
        <f t="shared" si="17"/>
        <v>1</v>
      </c>
    </row>
    <row r="172" spans="1:9">
      <c r="A172" s="252"/>
      <c r="B172" s="252"/>
      <c r="C172" s="252"/>
      <c r="D172" s="181"/>
      <c r="E172" s="253"/>
      <c r="F172" s="181"/>
      <c r="G172" s="254"/>
      <c r="H172" s="255"/>
      <c r="I172" s="9">
        <f t="shared" si="17"/>
        <v>1</v>
      </c>
    </row>
    <row r="173" spans="1:9">
      <c r="A173" s="252"/>
      <c r="B173" s="252"/>
      <c r="C173" s="252"/>
      <c r="D173" s="181"/>
      <c r="E173" s="253"/>
      <c r="F173" s="181"/>
      <c r="G173" s="254"/>
      <c r="H173" s="255"/>
      <c r="I173" s="9">
        <f t="shared" si="17"/>
        <v>1</v>
      </c>
    </row>
    <row r="174" spans="1:9">
      <c r="A174" s="252"/>
      <c r="B174" s="252"/>
      <c r="C174" s="252"/>
      <c r="D174" s="181"/>
      <c r="E174" s="253"/>
      <c r="F174" s="181"/>
      <c r="G174" s="254"/>
      <c r="H174" s="255"/>
      <c r="I174" s="9">
        <f t="shared" si="17"/>
        <v>1</v>
      </c>
    </row>
    <row r="175" spans="1:9">
      <c r="A175" s="252"/>
      <c r="B175" s="252"/>
      <c r="C175" s="252"/>
      <c r="D175" s="181"/>
      <c r="E175" s="253"/>
      <c r="F175" s="181"/>
      <c r="G175" s="254"/>
      <c r="H175" s="255"/>
      <c r="I175" s="9">
        <f t="shared" si="17"/>
        <v>1</v>
      </c>
    </row>
    <row r="176" spans="1:9">
      <c r="A176" s="252"/>
      <c r="B176" s="252"/>
      <c r="C176" s="252"/>
      <c r="D176" s="181"/>
      <c r="E176" s="253"/>
      <c r="F176" s="181"/>
      <c r="G176" s="254"/>
      <c r="H176" s="255"/>
      <c r="I176" s="9">
        <f t="shared" si="17"/>
        <v>1</v>
      </c>
    </row>
    <row r="177" spans="1:9">
      <c r="A177" s="252"/>
      <c r="B177" s="252"/>
      <c r="C177" s="252"/>
      <c r="D177" s="181"/>
      <c r="E177" s="253"/>
      <c r="F177" s="181"/>
      <c r="G177" s="254"/>
      <c r="H177" s="255"/>
      <c r="I177" s="9">
        <f t="shared" si="17"/>
        <v>1</v>
      </c>
    </row>
    <row r="178" spans="1:9">
      <c r="A178" s="252"/>
      <c r="B178" s="252"/>
      <c r="C178" s="252"/>
      <c r="D178" s="181"/>
      <c r="E178" s="253"/>
      <c r="F178" s="181"/>
      <c r="G178" s="254"/>
      <c r="H178" s="255"/>
      <c r="I178" s="9">
        <f t="shared" si="17"/>
        <v>1</v>
      </c>
    </row>
    <row r="179" spans="1:9">
      <c r="A179" s="252"/>
      <c r="B179" s="252"/>
      <c r="C179" s="252"/>
      <c r="D179" s="181"/>
      <c r="E179" s="253"/>
      <c r="F179" s="181"/>
      <c r="G179" s="254"/>
      <c r="H179" s="255"/>
      <c r="I179" s="9">
        <f t="shared" si="17"/>
        <v>1</v>
      </c>
    </row>
    <row r="180" spans="1:9">
      <c r="A180" s="252"/>
      <c r="B180" s="252"/>
      <c r="C180" s="252"/>
      <c r="D180" s="181"/>
      <c r="E180" s="253"/>
      <c r="F180" s="181"/>
      <c r="G180" s="254"/>
      <c r="H180" s="255"/>
      <c r="I180" s="9">
        <f t="shared" si="17"/>
        <v>1</v>
      </c>
    </row>
    <row r="181" spans="1:9">
      <c r="A181" s="252"/>
      <c r="B181" s="252"/>
      <c r="C181" s="252"/>
      <c r="D181" s="181"/>
      <c r="E181" s="253"/>
      <c r="F181" s="181"/>
      <c r="G181" s="254"/>
      <c r="H181" s="255"/>
      <c r="I181" s="9">
        <f t="shared" si="17"/>
        <v>1</v>
      </c>
    </row>
    <row r="182" spans="1:9">
      <c r="A182" s="252"/>
      <c r="B182" s="252"/>
      <c r="C182" s="252"/>
      <c r="D182" s="181"/>
      <c r="E182" s="253"/>
      <c r="F182" s="181"/>
      <c r="G182" s="254"/>
      <c r="H182" s="255"/>
      <c r="I182" s="9">
        <f t="shared" si="17"/>
        <v>1</v>
      </c>
    </row>
    <row r="183" spans="1:9">
      <c r="A183" s="252"/>
      <c r="B183" s="252"/>
      <c r="C183" s="252"/>
      <c r="D183" s="181"/>
      <c r="E183" s="253"/>
      <c r="F183" s="181"/>
      <c r="G183" s="254"/>
      <c r="H183" s="255"/>
      <c r="I183" s="9">
        <f t="shared" si="17"/>
        <v>1</v>
      </c>
    </row>
    <row r="184" spans="1:9">
      <c r="A184" s="252"/>
      <c r="B184" s="252"/>
      <c r="C184" s="252"/>
      <c r="D184" s="181"/>
      <c r="E184" s="253"/>
      <c r="F184" s="181"/>
      <c r="G184" s="254"/>
      <c r="H184" s="255"/>
      <c r="I184" s="9">
        <f t="shared" si="17"/>
        <v>1</v>
      </c>
    </row>
    <row r="185" spans="1:9">
      <c r="A185" s="252"/>
      <c r="B185" s="252"/>
      <c r="C185" s="252"/>
      <c r="D185" s="181"/>
      <c r="E185" s="253"/>
      <c r="F185" s="181"/>
      <c r="G185" s="254"/>
      <c r="H185" s="255"/>
      <c r="I185" s="9">
        <f t="shared" si="17"/>
        <v>1</v>
      </c>
    </row>
    <row r="186" spans="1:9">
      <c r="A186" s="252"/>
      <c r="B186" s="252"/>
      <c r="C186" s="252"/>
      <c r="D186" s="181"/>
      <c r="E186" s="253"/>
      <c r="F186" s="181"/>
      <c r="G186" s="254"/>
      <c r="H186" s="255"/>
      <c r="I186" s="9">
        <f t="shared" si="17"/>
        <v>1</v>
      </c>
    </row>
    <row r="187" spans="1:9">
      <c r="A187" s="252"/>
      <c r="B187" s="252"/>
      <c r="C187" s="252"/>
      <c r="D187" s="181"/>
      <c r="E187" s="253"/>
      <c r="F187" s="181"/>
      <c r="G187" s="254"/>
      <c r="H187" s="255"/>
      <c r="I187" s="9">
        <f t="shared" si="17"/>
        <v>1</v>
      </c>
    </row>
    <row r="188" spans="1:9">
      <c r="A188" s="252"/>
      <c r="B188" s="252"/>
      <c r="C188" s="252"/>
      <c r="D188" s="181"/>
      <c r="E188" s="253"/>
      <c r="F188" s="181"/>
      <c r="G188" s="254"/>
      <c r="H188" s="255"/>
      <c r="I188" s="9">
        <f t="shared" si="17"/>
        <v>1</v>
      </c>
    </row>
    <row r="189" spans="1:9">
      <c r="A189" s="252"/>
      <c r="B189" s="252"/>
      <c r="C189" s="252"/>
      <c r="D189" s="181"/>
      <c r="E189" s="253"/>
      <c r="F189" s="181"/>
      <c r="G189" s="254"/>
      <c r="H189" s="255"/>
      <c r="I189" s="9">
        <f t="shared" si="17"/>
        <v>1</v>
      </c>
    </row>
    <row r="190" spans="1:9">
      <c r="A190" s="252"/>
      <c r="B190" s="252"/>
      <c r="C190" s="252"/>
      <c r="D190" s="181"/>
      <c r="E190" s="253"/>
      <c r="F190" s="181"/>
      <c r="G190" s="254"/>
      <c r="H190" s="255"/>
      <c r="I190" s="9">
        <f t="shared" si="17"/>
        <v>1</v>
      </c>
    </row>
    <row r="191" spans="1:9">
      <c r="A191" s="252"/>
      <c r="B191" s="252"/>
      <c r="C191" s="252"/>
      <c r="D191" s="181"/>
      <c r="E191" s="253"/>
      <c r="F191" s="181"/>
      <c r="G191" s="254"/>
      <c r="H191" s="255"/>
      <c r="I191" s="9">
        <f t="shared" si="17"/>
        <v>1</v>
      </c>
    </row>
    <row r="192" spans="1:9">
      <c r="A192" s="252"/>
      <c r="B192" s="252"/>
      <c r="C192" s="252"/>
      <c r="D192" s="181"/>
      <c r="E192" s="253"/>
      <c r="F192" s="181"/>
      <c r="G192" s="254"/>
      <c r="H192" s="255"/>
      <c r="I192" s="9">
        <f t="shared" si="17"/>
        <v>1</v>
      </c>
    </row>
    <row r="193" spans="1:9">
      <c r="A193" s="252"/>
      <c r="B193" s="252"/>
      <c r="C193" s="252"/>
      <c r="D193" s="181"/>
      <c r="E193" s="253"/>
      <c r="F193" s="181"/>
      <c r="G193" s="254"/>
      <c r="H193" s="255"/>
      <c r="I193" s="9">
        <f t="shared" si="17"/>
        <v>1</v>
      </c>
    </row>
    <row r="194" spans="1:9">
      <c r="A194" s="252"/>
      <c r="B194" s="252"/>
      <c r="C194" s="252"/>
      <c r="D194" s="181"/>
      <c r="E194" s="253"/>
      <c r="F194" s="181"/>
      <c r="G194" s="254"/>
      <c r="H194" s="255"/>
      <c r="I194" s="9">
        <f t="shared" si="17"/>
        <v>1</v>
      </c>
    </row>
    <row r="195" spans="1:9">
      <c r="B195" s="252"/>
      <c r="C195" s="252"/>
      <c r="D195" s="181"/>
      <c r="E195" s="253"/>
      <c r="F195" s="181"/>
      <c r="G195" s="254"/>
      <c r="H195" s="255"/>
      <c r="I195" s="9">
        <f t="shared" si="17"/>
        <v>1</v>
      </c>
    </row>
    <row r="196" spans="1:9">
      <c r="B196" s="252"/>
      <c r="C196" s="252"/>
      <c r="D196" s="181"/>
      <c r="E196" s="253"/>
      <c r="F196" s="181"/>
      <c r="G196" s="254"/>
      <c r="H196" s="255"/>
      <c r="I196" s="9">
        <f t="shared" si="17"/>
        <v>1</v>
      </c>
    </row>
    <row r="197" spans="1:9">
      <c r="B197" s="252"/>
      <c r="C197" s="252"/>
      <c r="D197" s="181"/>
      <c r="E197" s="256" t="str">
        <f>CONCATENATE(F197," ",C197, " - ",G197,"; ",H197)</f>
        <v>Подъемный механизм  - L4fo; правый</v>
      </c>
      <c r="F197" s="256" t="s">
        <v>299</v>
      </c>
      <c r="G197" s="257" t="s">
        <v>224</v>
      </c>
      <c r="H197" s="258" t="s">
        <v>91</v>
      </c>
      <c r="I197" s="9">
        <f t="shared" si="17"/>
        <v>1</v>
      </c>
    </row>
    <row r="198" spans="1:9">
      <c r="B198" s="252"/>
      <c r="C198" s="252"/>
      <c r="D198" s="181"/>
      <c r="E198" s="253"/>
      <c r="F198" s="181"/>
      <c r="G198" s="254">
        <f>SUMIF(Цены!$B:$B,D198,Цены!$C:$C)</f>
        <v>0</v>
      </c>
      <c r="H198" s="255">
        <f t="shared" ca="1" si="3"/>
        <v>0</v>
      </c>
      <c r="I198" s="9">
        <f t="shared" ref="I198:I214" si="18">COUNTIF(D:D,D198)</f>
        <v>1</v>
      </c>
    </row>
    <row r="199" spans="1:9">
      <c r="B199" s="252"/>
      <c r="C199" s="252"/>
      <c r="D199" s="181"/>
      <c r="E199" s="253"/>
      <c r="F199" s="181"/>
      <c r="G199" s="254">
        <f>SUMIF(Цены!$B:$B,D199,Цены!$C:$C)</f>
        <v>0</v>
      </c>
      <c r="H199" s="255">
        <f t="shared" ca="1" si="3"/>
        <v>0</v>
      </c>
      <c r="I199" s="9">
        <f t="shared" si="18"/>
        <v>1</v>
      </c>
    </row>
    <row r="200" spans="1:9">
      <c r="B200" s="252"/>
      <c r="C200" s="252"/>
      <c r="D200" s="181"/>
      <c r="E200" s="253"/>
      <c r="F200" s="181"/>
      <c r="G200" s="254">
        <f>SUMIF(Цены!$B:$B,D200,Цены!$C:$C)</f>
        <v>0</v>
      </c>
      <c r="H200" s="255">
        <f t="shared" ca="1" si="3"/>
        <v>0</v>
      </c>
      <c r="I200" s="9">
        <f t="shared" si="18"/>
        <v>1</v>
      </c>
    </row>
    <row r="201" spans="1:9">
      <c r="B201" s="252"/>
      <c r="C201" s="252"/>
      <c r="D201" s="181"/>
      <c r="E201" s="253"/>
      <c r="F201" s="181"/>
      <c r="G201" s="254">
        <f>SUMIF(Цены!$B:$B,D201,Цены!$C:$C)</f>
        <v>0</v>
      </c>
      <c r="H201" s="255">
        <f t="shared" ca="1" si="3"/>
        <v>0</v>
      </c>
      <c r="I201" s="9">
        <f t="shared" si="18"/>
        <v>1</v>
      </c>
    </row>
    <row r="202" spans="1:9">
      <c r="B202" s="252"/>
      <c r="C202" s="252"/>
      <c r="D202" s="181"/>
      <c r="E202" s="253"/>
      <c r="F202" s="181"/>
      <c r="G202" s="254">
        <f>SUMIF(Цены!$B:$B,D202,Цены!$C:$C)</f>
        <v>0</v>
      </c>
      <c r="H202" s="255">
        <f t="shared" ca="1" si="3"/>
        <v>0</v>
      </c>
      <c r="I202" s="9">
        <f t="shared" si="18"/>
        <v>1</v>
      </c>
    </row>
    <row r="203" spans="1:9">
      <c r="B203" s="252"/>
      <c r="C203" s="252"/>
      <c r="D203" s="181"/>
      <c r="E203" s="253"/>
      <c r="F203" s="181"/>
      <c r="G203" s="254">
        <f>SUMIF(Цены!$B:$B,D203,Цены!$C:$C)</f>
        <v>0</v>
      </c>
      <c r="H203" s="255">
        <f t="shared" ca="1" si="3"/>
        <v>0</v>
      </c>
      <c r="I203" s="9">
        <f t="shared" si="18"/>
        <v>1</v>
      </c>
    </row>
    <row r="204" spans="1:9">
      <c r="B204" s="252"/>
      <c r="C204" s="252"/>
      <c r="D204" s="181"/>
      <c r="E204" s="253"/>
      <c r="F204" s="181"/>
      <c r="G204" s="254">
        <f>SUMIF(Цены!$B:$B,D204,Цены!$C:$C)</f>
        <v>0</v>
      </c>
      <c r="H204" s="255">
        <f t="shared" ca="1" si="3"/>
        <v>0</v>
      </c>
      <c r="I204" s="9">
        <f t="shared" si="18"/>
        <v>1</v>
      </c>
    </row>
    <row r="205" spans="1:9">
      <c r="B205" s="252"/>
      <c r="C205" s="252"/>
      <c r="D205" s="181"/>
      <c r="E205" s="253"/>
      <c r="F205" s="181"/>
      <c r="G205" s="254">
        <f>SUMIF(Цены!$B:$B,D205,Цены!$C:$C)</f>
        <v>0</v>
      </c>
      <c r="H205" s="255">
        <f t="shared" ca="1" si="3"/>
        <v>0</v>
      </c>
      <c r="I205" s="9">
        <f t="shared" si="18"/>
        <v>1</v>
      </c>
    </row>
    <row r="206" spans="1:9">
      <c r="B206" s="252"/>
      <c r="C206" s="252"/>
      <c r="D206" s="181"/>
      <c r="E206" s="253"/>
      <c r="F206" s="181"/>
      <c r="G206" s="254">
        <f>SUMIF(Цены!$B:$B,D206,Цены!$C:$C)</f>
        <v>0</v>
      </c>
      <c r="H206" s="255">
        <f t="shared" ca="1" si="3"/>
        <v>0</v>
      </c>
      <c r="I206" s="9">
        <f t="shared" si="18"/>
        <v>1</v>
      </c>
    </row>
    <row r="207" spans="1:9">
      <c r="B207" s="252"/>
      <c r="C207" s="252"/>
      <c r="D207" s="181"/>
      <c r="E207" s="253"/>
      <c r="F207" s="181"/>
      <c r="G207" s="254">
        <f>SUMIF(Цены!$B:$B,D207,Цены!$C:$C)</f>
        <v>0</v>
      </c>
      <c r="H207" s="255">
        <f t="shared" ca="1" si="3"/>
        <v>0</v>
      </c>
      <c r="I207" s="9">
        <f t="shared" si="18"/>
        <v>1</v>
      </c>
    </row>
    <row r="208" spans="1:9">
      <c r="B208" s="252"/>
      <c r="C208" s="252"/>
      <c r="D208" s="181"/>
      <c r="E208" s="253"/>
      <c r="F208" s="181"/>
      <c r="G208" s="254">
        <f>SUMIF(Цены!$B:$B,D208,Цены!$C:$C)</f>
        <v>0</v>
      </c>
      <c r="H208" s="255">
        <f t="shared" ca="1" si="3"/>
        <v>0</v>
      </c>
      <c r="I208" s="9">
        <f t="shared" si="18"/>
        <v>1</v>
      </c>
    </row>
    <row r="209" spans="2:9">
      <c r="B209" s="252"/>
      <c r="C209" s="252"/>
      <c r="D209" s="181"/>
      <c r="E209" s="253"/>
      <c r="F209" s="181"/>
      <c r="G209" s="254">
        <f>SUMIF(Цены!$B:$B,D209,Цены!$C:$C)</f>
        <v>0</v>
      </c>
      <c r="H209" s="255">
        <f t="shared" ca="1" si="3"/>
        <v>0</v>
      </c>
      <c r="I209" s="9">
        <f t="shared" si="18"/>
        <v>1</v>
      </c>
    </row>
    <row r="210" spans="2:9">
      <c r="B210" s="252"/>
      <c r="C210" s="252"/>
      <c r="D210" s="181"/>
      <c r="E210" s="253"/>
      <c r="F210" s="181"/>
      <c r="G210" s="254">
        <f>SUMIF(Цены!$B:$B,D210,Цены!$C:$C)</f>
        <v>0</v>
      </c>
      <c r="H210" s="255">
        <f t="shared" ca="1" si="3"/>
        <v>0</v>
      </c>
      <c r="I210" s="9">
        <f t="shared" si="18"/>
        <v>1</v>
      </c>
    </row>
    <row r="211" spans="2:9">
      <c r="B211" s="252"/>
      <c r="C211" s="252"/>
      <c r="D211" s="181"/>
      <c r="E211" s="253"/>
      <c r="F211" s="181"/>
      <c r="G211" s="254">
        <f>SUMIF(Цены!$B:$B,D211,Цены!$C:$C)</f>
        <v>0</v>
      </c>
      <c r="H211" s="255">
        <f t="shared" ca="1" si="3"/>
        <v>0</v>
      </c>
      <c r="I211" s="9">
        <f t="shared" si="18"/>
        <v>1</v>
      </c>
    </row>
    <row r="212" spans="2:9">
      <c r="B212" s="252"/>
      <c r="C212" s="252"/>
      <c r="D212" s="181"/>
      <c r="E212" s="253"/>
      <c r="F212" s="181"/>
      <c r="G212" s="254">
        <f>SUMIF(Цены!$B:$B,D212,Цены!$C:$C)</f>
        <v>0</v>
      </c>
      <c r="H212" s="255">
        <f t="shared" ca="1" si="3"/>
        <v>0</v>
      </c>
      <c r="I212" s="9">
        <f t="shared" si="18"/>
        <v>1</v>
      </c>
    </row>
    <row r="213" spans="2:9">
      <c r="B213" s="252"/>
      <c r="C213" s="252"/>
      <c r="D213" s="181"/>
      <c r="E213" s="253"/>
      <c r="F213" s="181"/>
      <c r="G213" s="254">
        <f>SUMIF(Цены!$B:$B,D213,Цены!$C:$C)</f>
        <v>0</v>
      </c>
      <c r="H213" s="255">
        <f t="shared" ca="1" si="3"/>
        <v>0</v>
      </c>
      <c r="I213" s="9">
        <f t="shared" si="18"/>
        <v>1</v>
      </c>
    </row>
    <row r="214" spans="2:9">
      <c r="B214" s="252"/>
      <c r="C214" s="252"/>
      <c r="D214" s="181"/>
      <c r="E214" s="253"/>
      <c r="F214" s="181"/>
      <c r="G214" s="254">
        <f>SUMIF(Цены!$B:$B,D214,Цены!$C:$C)</f>
        <v>0</v>
      </c>
      <c r="H214" s="255">
        <f t="shared" ca="1" si="3"/>
        <v>0</v>
      </c>
      <c r="I214" s="9">
        <f t="shared" si="18"/>
        <v>1</v>
      </c>
    </row>
  </sheetData>
  <sheetProtection password="CEE3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4"/>
  <dimension ref="A3:J47"/>
  <sheetViews>
    <sheetView topLeftCell="A7" zoomScaleNormal="100" workbookViewId="0">
      <selection activeCell="A22" sqref="A22:XFD22"/>
    </sheetView>
  </sheetViews>
  <sheetFormatPr defaultColWidth="9.140625" defaultRowHeight="15"/>
  <cols>
    <col min="1" max="1" width="15" style="9" customWidth="1"/>
    <col min="2" max="2" width="10.7109375" style="9" customWidth="1"/>
    <col min="3" max="3" width="10.42578125" style="9" customWidth="1"/>
    <col min="4" max="4" width="2.7109375" style="9" customWidth="1"/>
    <col min="5" max="5" width="18.42578125" style="9" customWidth="1"/>
    <col min="6" max="6" width="10.85546875" style="9" customWidth="1"/>
    <col min="7" max="7" width="59.28515625" style="9" customWidth="1"/>
    <col min="8" max="8" width="6.5703125" style="9" customWidth="1"/>
    <col min="9" max="9" width="43.28515625" style="9" customWidth="1"/>
    <col min="10" max="10" width="6" style="9" customWidth="1"/>
    <col min="11" max="16384" width="9.140625" style="9"/>
  </cols>
  <sheetData>
    <row r="3" spans="1:10">
      <c r="I3" s="131" t="s">
        <v>456</v>
      </c>
    </row>
    <row r="4" spans="1:10">
      <c r="A4" s="9" t="s">
        <v>48</v>
      </c>
      <c r="B4" s="9" t="s">
        <v>180</v>
      </c>
      <c r="C4" s="9" t="s">
        <v>127</v>
      </c>
      <c r="E4" s="259" t="s">
        <v>197</v>
      </c>
      <c r="F4" s="181" t="s">
        <v>236</v>
      </c>
      <c r="G4" s="253" t="s">
        <v>238</v>
      </c>
      <c r="I4" s="131" t="s">
        <v>455</v>
      </c>
      <c r="J4" s="140">
        <v>0</v>
      </c>
    </row>
    <row r="5" spans="1:10">
      <c r="B5" s="9" t="s">
        <v>181</v>
      </c>
      <c r="C5" s="9" t="s">
        <v>127</v>
      </c>
      <c r="E5" s="259" t="s">
        <v>198</v>
      </c>
      <c r="F5" s="181" t="s">
        <v>39</v>
      </c>
      <c r="G5" s="253" t="s">
        <v>237</v>
      </c>
      <c r="I5" s="131" t="s">
        <v>452</v>
      </c>
      <c r="J5" s="140">
        <v>1</v>
      </c>
    </row>
    <row r="6" spans="1:10">
      <c r="B6" s="9" t="s">
        <v>182</v>
      </c>
      <c r="C6" s="9" t="s">
        <v>128</v>
      </c>
      <c r="I6" s="131"/>
    </row>
    <row r="7" spans="1:10">
      <c r="B7" s="9" t="s">
        <v>183</v>
      </c>
      <c r="C7" s="9" t="s">
        <v>128</v>
      </c>
      <c r="I7" s="131"/>
    </row>
    <row r="8" spans="1:10">
      <c r="B8" s="9" t="s">
        <v>182</v>
      </c>
      <c r="C8" s="9" t="s">
        <v>129</v>
      </c>
      <c r="E8" s="259">
        <v>1200</v>
      </c>
      <c r="F8" s="181" t="s">
        <v>27</v>
      </c>
      <c r="G8" s="253" t="s">
        <v>234</v>
      </c>
      <c r="I8" s="131" t="s">
        <v>469</v>
      </c>
      <c r="J8" s="140">
        <v>0</v>
      </c>
    </row>
    <row r="9" spans="1:10">
      <c r="B9" s="9" t="s">
        <v>183</v>
      </c>
      <c r="C9" s="9" t="s">
        <v>129</v>
      </c>
      <c r="E9" s="259">
        <v>1800</v>
      </c>
      <c r="F9" s="181" t="s">
        <v>233</v>
      </c>
      <c r="G9" s="253" t="s">
        <v>235</v>
      </c>
      <c r="I9" s="131" t="s">
        <v>468</v>
      </c>
      <c r="J9" s="140">
        <v>1</v>
      </c>
    </row>
    <row r="10" spans="1:10">
      <c r="B10" s="9" t="s">
        <v>184</v>
      </c>
      <c r="C10" s="9" t="s">
        <v>131</v>
      </c>
    </row>
    <row r="11" spans="1:10">
      <c r="B11" s="9" t="s">
        <v>185</v>
      </c>
      <c r="C11" s="9" t="s">
        <v>131</v>
      </c>
      <c r="I11" s="131" t="s">
        <v>497</v>
      </c>
      <c r="J11" s="140">
        <v>0</v>
      </c>
    </row>
    <row r="12" spans="1:10">
      <c r="E12" s="259" t="s">
        <v>197</v>
      </c>
      <c r="F12" s="181" t="s">
        <v>210</v>
      </c>
      <c r="G12" s="253" t="s">
        <v>209</v>
      </c>
      <c r="I12" s="131" t="s">
        <v>496</v>
      </c>
      <c r="J12" s="140">
        <v>1</v>
      </c>
    </row>
    <row r="13" spans="1:10">
      <c r="E13" s="259" t="s">
        <v>198</v>
      </c>
      <c r="F13" s="181" t="s">
        <v>248</v>
      </c>
      <c r="G13" s="253" t="s">
        <v>247</v>
      </c>
      <c r="J13" s="140"/>
    </row>
    <row r="14" spans="1:10">
      <c r="I14" s="131" t="s">
        <v>500</v>
      </c>
      <c r="J14" s="140">
        <v>0</v>
      </c>
    </row>
    <row r="15" spans="1:10">
      <c r="I15" s="131" t="s">
        <v>496</v>
      </c>
      <c r="J15" s="140">
        <v>1</v>
      </c>
    </row>
    <row r="16" spans="1:10">
      <c r="E16" s="259" t="s">
        <v>197</v>
      </c>
      <c r="F16" s="181" t="s">
        <v>212</v>
      </c>
      <c r="G16" s="253" t="s">
        <v>211</v>
      </c>
    </row>
    <row r="17" spans="5:10">
      <c r="E17" s="259" t="s">
        <v>198</v>
      </c>
      <c r="F17" s="181" t="s">
        <v>246</v>
      </c>
      <c r="G17" s="253" t="s">
        <v>249</v>
      </c>
      <c r="I17" s="131" t="s">
        <v>481</v>
      </c>
      <c r="J17" s="140">
        <v>1</v>
      </c>
    </row>
    <row r="18" spans="5:10">
      <c r="I18" s="131" t="s">
        <v>480</v>
      </c>
      <c r="J18" s="140">
        <v>2</v>
      </c>
    </row>
    <row r="19" spans="5:10">
      <c r="I19" s="131" t="s">
        <v>258</v>
      </c>
      <c r="J19" s="140">
        <v>3</v>
      </c>
    </row>
    <row r="20" spans="5:10">
      <c r="E20" s="259" t="s">
        <v>197</v>
      </c>
      <c r="F20" s="181" t="s">
        <v>214</v>
      </c>
      <c r="G20" s="253" t="s">
        <v>216</v>
      </c>
    </row>
    <row r="21" spans="5:10">
      <c r="E21" s="259" t="s">
        <v>198</v>
      </c>
      <c r="F21" s="181" t="s">
        <v>243</v>
      </c>
      <c r="G21" s="253" t="s">
        <v>245</v>
      </c>
      <c r="I21" s="131" t="s">
        <v>517</v>
      </c>
      <c r="J21" s="9">
        <v>0</v>
      </c>
    </row>
    <row r="22" spans="5:10">
      <c r="I22" s="131" t="s">
        <v>518</v>
      </c>
      <c r="J22" s="9">
        <v>1</v>
      </c>
    </row>
    <row r="24" spans="5:10">
      <c r="E24" s="259" t="s">
        <v>197</v>
      </c>
      <c r="F24" s="181" t="s">
        <v>213</v>
      </c>
      <c r="G24" s="253" t="s">
        <v>215</v>
      </c>
      <c r="I24" s="131" t="s">
        <v>531</v>
      </c>
    </row>
    <row r="25" spans="5:10">
      <c r="E25" s="259" t="s">
        <v>198</v>
      </c>
      <c r="F25" s="181" t="s">
        <v>242</v>
      </c>
      <c r="G25" s="253" t="s">
        <v>244</v>
      </c>
      <c r="I25" s="131" t="s">
        <v>532</v>
      </c>
    </row>
    <row r="27" spans="5:10">
      <c r="I27" s="131" t="s">
        <v>547</v>
      </c>
    </row>
    <row r="28" spans="5:10">
      <c r="E28" s="259" t="s">
        <v>197</v>
      </c>
      <c r="F28" s="181" t="s">
        <v>206</v>
      </c>
      <c r="G28" s="253" t="s">
        <v>207</v>
      </c>
      <c r="I28" s="131" t="s">
        <v>548</v>
      </c>
    </row>
    <row r="29" spans="5:10">
      <c r="E29" s="259" t="s">
        <v>198</v>
      </c>
      <c r="F29" s="181" t="s">
        <v>355</v>
      </c>
      <c r="G29" s="253" t="s">
        <v>356</v>
      </c>
    </row>
    <row r="32" spans="5:10">
      <c r="E32" s="259" t="s">
        <v>197</v>
      </c>
      <c r="F32" s="181" t="s">
        <v>11</v>
      </c>
      <c r="G32" s="253" t="s">
        <v>12</v>
      </c>
    </row>
    <row r="33" spans="5:7">
      <c r="E33" s="259" t="s">
        <v>198</v>
      </c>
      <c r="F33" s="181" t="s">
        <v>357</v>
      </c>
      <c r="G33" s="253" t="s">
        <v>358</v>
      </c>
    </row>
    <row r="36" spans="5:7">
      <c r="E36" s="259" t="s">
        <v>197</v>
      </c>
      <c r="F36" s="181" t="s">
        <v>7</v>
      </c>
      <c r="G36" s="260" t="s">
        <v>8</v>
      </c>
    </row>
    <row r="37" spans="5:7">
      <c r="E37" s="259" t="s">
        <v>198</v>
      </c>
      <c r="F37" s="181" t="s">
        <v>359</v>
      </c>
      <c r="G37" s="253" t="s">
        <v>360</v>
      </c>
    </row>
    <row r="40" spans="5:7">
      <c r="E40" s="259" t="s">
        <v>197</v>
      </c>
      <c r="F40" s="181" t="s">
        <v>17</v>
      </c>
      <c r="G40" s="260" t="s">
        <v>18</v>
      </c>
    </row>
    <row r="41" spans="5:7">
      <c r="E41" s="259" t="s">
        <v>198</v>
      </c>
      <c r="F41" s="181" t="s">
        <v>361</v>
      </c>
      <c r="G41" s="253" t="s">
        <v>362</v>
      </c>
    </row>
    <row r="44" spans="5:7">
      <c r="E44" s="259" t="s">
        <v>548</v>
      </c>
      <c r="F44" s="181" t="s">
        <v>539</v>
      </c>
      <c r="G44" s="260" t="s">
        <v>541</v>
      </c>
    </row>
    <row r="45" spans="5:7">
      <c r="E45" s="259" t="s">
        <v>547</v>
      </c>
      <c r="F45" s="181" t="s">
        <v>540</v>
      </c>
      <c r="G45" s="253" t="s">
        <v>542</v>
      </c>
    </row>
    <row r="47" spans="5:7">
      <c r="E47" s="259" t="s">
        <v>547</v>
      </c>
    </row>
  </sheetData>
  <sheetProtection password="CEE3" sheet="1" objects="1" scenarios="1" selectLockedCells="1" selectUnlockedCells="1"/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4" id="{43E9F9C0-96C6-4D23-84C9-339708B0238B}">
            <xm:f>FreeFlap!$K$7=$I$22</xm:f>
            <x14:dxf/>
          </x14:cfRule>
          <xm:sqref>K13:M13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8"/>
  <dimension ref="A2:L160"/>
  <sheetViews>
    <sheetView workbookViewId="0">
      <selection activeCell="E10" sqref="E10"/>
    </sheetView>
  </sheetViews>
  <sheetFormatPr defaultColWidth="9.140625" defaultRowHeight="15"/>
  <cols>
    <col min="1" max="1" width="10.140625" style="264" customWidth="1"/>
    <col min="2" max="2" width="8" style="264" customWidth="1"/>
    <col min="3" max="3" width="11.5703125" style="264" bestFit="1" customWidth="1"/>
    <col min="4" max="12" width="9.140625" style="264"/>
    <col min="13" max="16384" width="9.140625" style="9"/>
  </cols>
  <sheetData>
    <row r="2" spans="1:3">
      <c r="A2" s="264" t="s">
        <v>563</v>
      </c>
      <c r="B2"/>
      <c r="C2"/>
    </row>
    <row r="3" spans="1:3">
      <c r="B3"/>
      <c r="C3"/>
    </row>
    <row r="4" spans="1:3">
      <c r="A4" s="264" t="s">
        <v>564</v>
      </c>
      <c r="B4"/>
      <c r="C4"/>
    </row>
    <row r="5" spans="1:3">
      <c r="A5" s="264" t="s">
        <v>562</v>
      </c>
      <c r="B5"/>
      <c r="C5"/>
    </row>
    <row r="6" spans="1:3">
      <c r="A6" s="264" t="s">
        <v>410</v>
      </c>
      <c r="B6"/>
      <c r="C6"/>
    </row>
    <row r="7" spans="1:3">
      <c r="A7" s="264" t="s">
        <v>565</v>
      </c>
      <c r="B7"/>
      <c r="C7"/>
    </row>
    <row r="8" spans="1:3">
      <c r="A8" s="264" t="s">
        <v>566</v>
      </c>
      <c r="B8"/>
      <c r="C8"/>
    </row>
    <row r="9" spans="1:3">
      <c r="A9" s="264" t="s">
        <v>567</v>
      </c>
      <c r="B9"/>
      <c r="C9"/>
    </row>
    <row r="10" spans="1:3">
      <c r="A10" s="264" t="s">
        <v>568</v>
      </c>
      <c r="B10"/>
      <c r="C10"/>
    </row>
    <row r="11" spans="1:3">
      <c r="A11" s="264" t="s">
        <v>569</v>
      </c>
      <c r="B11"/>
      <c r="C11"/>
    </row>
    <row r="12" spans="1:3">
      <c r="A12" s="264" t="s">
        <v>561</v>
      </c>
      <c r="B12"/>
      <c r="C12"/>
    </row>
    <row r="13" spans="1:3">
      <c r="A13" s="264" t="s">
        <v>570</v>
      </c>
      <c r="B13"/>
      <c r="C13"/>
    </row>
    <row r="14" spans="1:3">
      <c r="A14" s="264" t="s">
        <v>571</v>
      </c>
      <c r="B14"/>
      <c r="C14"/>
    </row>
    <row r="15" spans="1:3">
      <c r="A15" s="264" t="s">
        <v>572</v>
      </c>
      <c r="B15"/>
      <c r="C15"/>
    </row>
    <row r="16" spans="1:3">
      <c r="A16" s="264" t="s">
        <v>573</v>
      </c>
      <c r="B16"/>
      <c r="C16"/>
    </row>
    <row r="17" spans="1:3">
      <c r="A17" s="264" t="s">
        <v>423</v>
      </c>
      <c r="B17"/>
      <c r="C17"/>
    </row>
    <row r="18" spans="1:3">
      <c r="B18"/>
      <c r="C18"/>
    </row>
    <row r="19" spans="1:3">
      <c r="A19" s="264" t="s">
        <v>574</v>
      </c>
      <c r="B19"/>
      <c r="C19"/>
    </row>
    <row r="20" spans="1:3">
      <c r="A20" s="264" t="s">
        <v>412</v>
      </c>
      <c r="B20"/>
      <c r="C20"/>
    </row>
    <row r="21" spans="1:3">
      <c r="A21" s="264" t="s">
        <v>415</v>
      </c>
      <c r="B21"/>
      <c r="C21"/>
    </row>
    <row r="22" spans="1:3">
      <c r="A22" s="264" t="s">
        <v>411</v>
      </c>
      <c r="B22"/>
      <c r="C22"/>
    </row>
    <row r="23" spans="1:3">
      <c r="A23" s="264" t="s">
        <v>575</v>
      </c>
      <c r="B23"/>
      <c r="C23"/>
    </row>
    <row r="24" spans="1:3">
      <c r="A24" s="264" t="s">
        <v>415</v>
      </c>
      <c r="B24"/>
      <c r="C24"/>
    </row>
    <row r="25" spans="1:3">
      <c r="A25" s="264" t="s">
        <v>411</v>
      </c>
      <c r="B25"/>
      <c r="C25"/>
    </row>
    <row r="26" spans="1:3">
      <c r="A26" s="264" t="s">
        <v>576</v>
      </c>
      <c r="B26"/>
      <c r="C26"/>
    </row>
    <row r="27" spans="1:3">
      <c r="A27" s="264" t="s">
        <v>415</v>
      </c>
      <c r="B27"/>
      <c r="C27"/>
    </row>
    <row r="28" spans="1:3">
      <c r="A28" s="264" t="s">
        <v>411</v>
      </c>
      <c r="B28"/>
      <c r="C28"/>
    </row>
    <row r="29" spans="1:3">
      <c r="A29" s="264" t="s">
        <v>577</v>
      </c>
      <c r="B29"/>
      <c r="C29"/>
    </row>
    <row r="30" spans="1:3">
      <c r="A30" s="264" t="s">
        <v>415</v>
      </c>
      <c r="B30"/>
      <c r="C30"/>
    </row>
    <row r="31" spans="1:3">
      <c r="A31" s="264" t="s">
        <v>411</v>
      </c>
      <c r="B31"/>
      <c r="C31"/>
    </row>
    <row r="32" spans="1:3">
      <c r="A32" s="264" t="s">
        <v>413</v>
      </c>
      <c r="B32"/>
      <c r="C32"/>
    </row>
    <row r="33" spans="1:3">
      <c r="A33" s="264" t="s">
        <v>415</v>
      </c>
      <c r="B33"/>
      <c r="C33"/>
    </row>
    <row r="34" spans="1:3">
      <c r="A34" s="264" t="s">
        <v>411</v>
      </c>
      <c r="B34"/>
      <c r="C34"/>
    </row>
    <row r="35" spans="1:3">
      <c r="A35" s="264" t="s">
        <v>414</v>
      </c>
      <c r="B35"/>
      <c r="C35"/>
    </row>
    <row r="36" spans="1:3">
      <c r="A36" s="264" t="s">
        <v>415</v>
      </c>
      <c r="B36"/>
      <c r="C36"/>
    </row>
    <row r="37" spans="1:3">
      <c r="A37" s="264" t="s">
        <v>411</v>
      </c>
      <c r="B37"/>
      <c r="C37"/>
    </row>
    <row r="38" spans="1:3">
      <c r="A38" s="264" t="s">
        <v>415</v>
      </c>
      <c r="B38"/>
      <c r="C38"/>
    </row>
    <row r="39" spans="1:3">
      <c r="A39" s="264" t="s">
        <v>411</v>
      </c>
      <c r="B39"/>
      <c r="C39"/>
    </row>
    <row r="40" spans="1:3">
      <c r="A40" s="264" t="s">
        <v>416</v>
      </c>
      <c r="B40"/>
      <c r="C40"/>
    </row>
    <row r="41" spans="1:3">
      <c r="A41" s="264" t="s">
        <v>411</v>
      </c>
      <c r="B41"/>
      <c r="C41"/>
    </row>
    <row r="42" spans="1:3">
      <c r="A42" s="264" t="s">
        <v>417</v>
      </c>
      <c r="B42"/>
      <c r="C42"/>
    </row>
    <row r="43" spans="1:3">
      <c r="A43" s="264" t="s">
        <v>411</v>
      </c>
      <c r="B43"/>
      <c r="C43"/>
    </row>
    <row r="44" spans="1:3">
      <c r="A44" s="264" t="s">
        <v>418</v>
      </c>
      <c r="B44"/>
      <c r="C44"/>
    </row>
    <row r="45" spans="1:3">
      <c r="A45" s="264" t="s">
        <v>411</v>
      </c>
      <c r="B45"/>
      <c r="C45"/>
    </row>
    <row r="46" spans="1:3">
      <c r="A46" s="264" t="s">
        <v>419</v>
      </c>
      <c r="B46"/>
      <c r="C46"/>
    </row>
    <row r="47" spans="1:3">
      <c r="A47" s="264" t="s">
        <v>411</v>
      </c>
      <c r="B47"/>
      <c r="C47"/>
    </row>
    <row r="48" spans="1:3">
      <c r="A48" s="264" t="s">
        <v>420</v>
      </c>
      <c r="B48"/>
      <c r="C48"/>
    </row>
    <row r="49" spans="1:3">
      <c r="A49" s="264" t="s">
        <v>411</v>
      </c>
      <c r="B49"/>
      <c r="C49"/>
    </row>
    <row r="50" spans="1:3">
      <c r="A50" s="264" t="s">
        <v>421</v>
      </c>
      <c r="B50"/>
      <c r="C50"/>
    </row>
    <row r="51" spans="1:3">
      <c r="A51" s="264" t="s">
        <v>411</v>
      </c>
      <c r="B51"/>
      <c r="C51"/>
    </row>
    <row r="52" spans="1:3">
      <c r="A52" s="264" t="s">
        <v>422</v>
      </c>
      <c r="B52"/>
      <c r="C52"/>
    </row>
    <row r="53" spans="1:3">
      <c r="A53" s="264" t="s">
        <v>415</v>
      </c>
      <c r="B53"/>
      <c r="C53"/>
    </row>
    <row r="54" spans="1:3">
      <c r="A54" s="264" t="s">
        <v>411</v>
      </c>
      <c r="B54"/>
      <c r="C54"/>
    </row>
    <row r="55" spans="1:3">
      <c r="A55" s="264" t="s">
        <v>425</v>
      </c>
      <c r="B55"/>
      <c r="C55"/>
    </row>
    <row r="56" spans="1:3">
      <c r="A56" s="264" t="s">
        <v>578</v>
      </c>
      <c r="B56"/>
      <c r="C56"/>
    </row>
    <row r="57" spans="1:3">
      <c r="A57" s="264" t="s">
        <v>426</v>
      </c>
      <c r="B57"/>
      <c r="C57"/>
    </row>
    <row r="58" spans="1:3">
      <c r="A58" s="264" t="s">
        <v>427</v>
      </c>
      <c r="B58"/>
      <c r="C58"/>
    </row>
    <row r="59" spans="1:3">
      <c r="A59" s="264" t="s">
        <v>424</v>
      </c>
      <c r="B59"/>
      <c r="C59"/>
    </row>
    <row r="60" spans="1:3">
      <c r="A60" s="264" t="s">
        <v>579</v>
      </c>
      <c r="B60"/>
      <c r="C60"/>
    </row>
    <row r="61" spans="1:3">
      <c r="A61" s="264" t="s">
        <v>580</v>
      </c>
      <c r="B61"/>
      <c r="C61"/>
    </row>
    <row r="62" spans="1:3">
      <c r="A62" s="264" t="s">
        <v>581</v>
      </c>
      <c r="B62"/>
      <c r="C62"/>
    </row>
    <row r="63" spans="1:3">
      <c r="A63" s="264" t="s">
        <v>582</v>
      </c>
      <c r="B63"/>
      <c r="C63"/>
    </row>
    <row r="64" spans="1:3">
      <c r="A64" s="264" t="s">
        <v>583</v>
      </c>
      <c r="B64"/>
      <c r="C64"/>
    </row>
    <row r="65" spans="1:3">
      <c r="A65" s="264" t="s">
        <v>584</v>
      </c>
      <c r="B65"/>
      <c r="C65"/>
    </row>
    <row r="66" spans="1:3">
      <c r="A66" s="264" t="s">
        <v>585</v>
      </c>
      <c r="B66"/>
      <c r="C66"/>
    </row>
    <row r="67" spans="1:3">
      <c r="B67"/>
      <c r="C67"/>
    </row>
    <row r="68" spans="1:3">
      <c r="A68" s="264" t="s">
        <v>428</v>
      </c>
      <c r="B68"/>
      <c r="C68"/>
    </row>
    <row r="69" spans="1:3">
      <c r="A69" s="264" t="s">
        <v>451</v>
      </c>
      <c r="B69"/>
      <c r="C69"/>
    </row>
    <row r="70" spans="1:3">
      <c r="A70" s="264" t="s">
        <v>429</v>
      </c>
      <c r="B70"/>
      <c r="C70"/>
    </row>
    <row r="71" spans="1:3">
      <c r="A71" s="264" t="s">
        <v>430</v>
      </c>
      <c r="B71"/>
      <c r="C71"/>
    </row>
    <row r="72" spans="1:3">
      <c r="A72" s="264" t="s">
        <v>431</v>
      </c>
      <c r="B72"/>
      <c r="C72"/>
    </row>
    <row r="73" spans="1:3">
      <c r="A73" s="264" t="s">
        <v>432</v>
      </c>
      <c r="B73"/>
      <c r="C73"/>
    </row>
    <row r="74" spans="1:3">
      <c r="A74" s="265">
        <v>44720</v>
      </c>
      <c r="B74"/>
      <c r="C74"/>
    </row>
    <row r="75" spans="1:3">
      <c r="A75" s="264">
        <v>64.569900000000004</v>
      </c>
      <c r="B75"/>
      <c r="C75"/>
    </row>
    <row r="76" spans="1:3">
      <c r="A76" s="264">
        <v>0.3</v>
      </c>
      <c r="B76"/>
      <c r="C76"/>
    </row>
    <row r="77" spans="1:3">
      <c r="A77" s="265">
        <v>44719</v>
      </c>
      <c r="B77"/>
      <c r="C77"/>
    </row>
    <row r="78" spans="1:3">
      <c r="A78" s="264">
        <v>64.866900000000001</v>
      </c>
      <c r="B78"/>
      <c r="C78"/>
    </row>
    <row r="79" spans="1:3">
      <c r="A79" s="264">
        <v>1.05</v>
      </c>
      <c r="B79"/>
      <c r="C79"/>
    </row>
    <row r="80" spans="1:3">
      <c r="A80" s="265">
        <v>44716</v>
      </c>
      <c r="B80"/>
      <c r="C80"/>
    </row>
    <row r="81" spans="1:3">
      <c r="A81" s="264">
        <v>65.9191</v>
      </c>
      <c r="B81"/>
      <c r="C81"/>
    </row>
    <row r="82" spans="1:3">
      <c r="A82" s="264">
        <v>1.01</v>
      </c>
      <c r="B82"/>
      <c r="C82"/>
    </row>
    <row r="83" spans="1:3">
      <c r="A83" s="265">
        <v>44715</v>
      </c>
      <c r="B83"/>
      <c r="C83"/>
    </row>
    <row r="84" spans="1:3">
      <c r="A84" s="264">
        <v>64.905299999999997</v>
      </c>
      <c r="B84"/>
      <c r="C84"/>
    </row>
    <row r="85" spans="1:3">
      <c r="A85" s="264">
        <v>1.24</v>
      </c>
      <c r="B85"/>
      <c r="C85"/>
    </row>
    <row r="86" spans="1:3">
      <c r="A86" s="265">
        <v>44714</v>
      </c>
      <c r="B86"/>
      <c r="C86"/>
    </row>
    <row r="87" spans="1:3">
      <c r="A87" s="264">
        <v>63.6629</v>
      </c>
      <c r="B87"/>
      <c r="C87"/>
    </row>
    <row r="88" spans="1:3">
      <c r="A88" s="264">
        <v>0.92</v>
      </c>
      <c r="B88"/>
      <c r="C88"/>
    </row>
    <row r="89" spans="1:3">
      <c r="A89" s="265">
        <v>44713</v>
      </c>
      <c r="B89"/>
      <c r="C89"/>
    </row>
    <row r="90" spans="1:3">
      <c r="A90" s="264">
        <v>62.739699999999999</v>
      </c>
      <c r="B90"/>
      <c r="C90"/>
    </row>
    <row r="91" spans="1:3">
      <c r="A91" s="264">
        <v>1.98</v>
      </c>
      <c r="B91"/>
      <c r="C91"/>
    </row>
    <row r="92" spans="1:3">
      <c r="A92" s="265">
        <v>44712</v>
      </c>
      <c r="B92"/>
      <c r="C92"/>
    </row>
    <row r="93" spans="1:3">
      <c r="A93" s="264">
        <v>64.716999999999999</v>
      </c>
      <c r="B93"/>
      <c r="C93"/>
    </row>
    <row r="94" spans="1:3">
      <c r="A94" s="264">
        <v>4.72</v>
      </c>
      <c r="B94"/>
      <c r="C94"/>
    </row>
    <row r="95" spans="1:3">
      <c r="A95" s="265">
        <v>44709</v>
      </c>
      <c r="B95"/>
      <c r="C95"/>
    </row>
    <row r="96" spans="1:3">
      <c r="A96" s="264">
        <v>69.435299999999998</v>
      </c>
      <c r="B96"/>
      <c r="C96"/>
    </row>
    <row r="97" spans="1:3">
      <c r="A97" s="264">
        <v>5</v>
      </c>
      <c r="B97"/>
      <c r="C97"/>
    </row>
    <row r="98" spans="1:3">
      <c r="A98" s="265">
        <v>44708</v>
      </c>
      <c r="B98"/>
      <c r="C98"/>
    </row>
    <row r="99" spans="1:3">
      <c r="A99" s="264">
        <v>64.4392</v>
      </c>
      <c r="B99"/>
      <c r="C99"/>
    </row>
    <row r="100" spans="1:3">
      <c r="A100" s="264">
        <v>6.52</v>
      </c>
      <c r="B100"/>
      <c r="C100"/>
    </row>
    <row r="101" spans="1:3">
      <c r="A101" s="265">
        <v>44707</v>
      </c>
      <c r="B101"/>
      <c r="C101"/>
    </row>
    <row r="102" spans="1:3">
      <c r="A102" s="264">
        <v>57.920999999999999</v>
      </c>
      <c r="B102"/>
      <c r="C102"/>
    </row>
    <row r="103" spans="1:3">
      <c r="A103" s="264">
        <v>0.95</v>
      </c>
      <c r="B103"/>
      <c r="C103"/>
    </row>
    <row r="104" spans="1:3">
      <c r="B104"/>
      <c r="C104"/>
    </row>
    <row r="105" spans="1:3">
      <c r="A105" s="264" t="s">
        <v>412</v>
      </c>
      <c r="B105"/>
      <c r="C105"/>
    </row>
    <row r="106" spans="1:3">
      <c r="B106"/>
      <c r="C106"/>
    </row>
    <row r="107" spans="1:3">
      <c r="A107" s="264" t="s">
        <v>586</v>
      </c>
      <c r="B107"/>
      <c r="C107"/>
    </row>
    <row r="108" spans="1:3">
      <c r="A108" s="264" t="s">
        <v>587</v>
      </c>
      <c r="B108"/>
      <c r="C108"/>
    </row>
    <row r="109" spans="1:3">
      <c r="A109" s="265" t="s">
        <v>588</v>
      </c>
      <c r="B109"/>
      <c r="C109"/>
    </row>
    <row r="110" spans="1:3">
      <c r="A110" s="265" t="s">
        <v>589</v>
      </c>
      <c r="B110"/>
      <c r="C110"/>
    </row>
    <row r="111" spans="1:3">
      <c r="A111" s="265" t="s">
        <v>590</v>
      </c>
      <c r="B111"/>
      <c r="C111"/>
    </row>
    <row r="112" spans="1:3">
      <c r="A112" s="265" t="s">
        <v>591</v>
      </c>
      <c r="B112"/>
      <c r="C112"/>
    </row>
    <row r="113" spans="1:3">
      <c r="A113" s="265" t="s">
        <v>592</v>
      </c>
      <c r="B113"/>
      <c r="C113"/>
    </row>
    <row r="114" spans="1:3">
      <c r="A114" s="265" t="s">
        <v>593</v>
      </c>
      <c r="B114"/>
      <c r="C114"/>
    </row>
    <row r="115" spans="1:3">
      <c r="A115" s="265" t="s">
        <v>594</v>
      </c>
      <c r="B115"/>
      <c r="C115"/>
    </row>
    <row r="116" spans="1:3">
      <c r="A116" s="265" t="s">
        <v>595</v>
      </c>
      <c r="B116"/>
      <c r="C116"/>
    </row>
    <row r="117" spans="1:3">
      <c r="A117" s="265" t="s">
        <v>596</v>
      </c>
      <c r="B117"/>
      <c r="C117"/>
    </row>
    <row r="118" spans="1:3">
      <c r="A118" s="265" t="s">
        <v>589</v>
      </c>
      <c r="B118"/>
      <c r="C118"/>
    </row>
    <row r="119" spans="1:3">
      <c r="A119" s="265" t="s">
        <v>597</v>
      </c>
      <c r="B119"/>
      <c r="C119"/>
    </row>
    <row r="120" spans="1:3">
      <c r="A120" s="265" t="s">
        <v>598</v>
      </c>
      <c r="B120"/>
      <c r="C120"/>
    </row>
    <row r="121" spans="1:3">
      <c r="A121" s="265" t="s">
        <v>599</v>
      </c>
      <c r="B121"/>
      <c r="C121"/>
    </row>
    <row r="122" spans="1:3">
      <c r="A122" s="265" t="s">
        <v>600</v>
      </c>
      <c r="B122"/>
      <c r="C122"/>
    </row>
    <row r="123" spans="1:3">
      <c r="A123" s="265" t="s">
        <v>601</v>
      </c>
      <c r="B123"/>
      <c r="C123"/>
    </row>
    <row r="124" spans="1:3">
      <c r="A124" s="265" t="s">
        <v>602</v>
      </c>
      <c r="B124"/>
      <c r="C124"/>
    </row>
    <row r="125" spans="1:3">
      <c r="A125" s="265" t="s">
        <v>603</v>
      </c>
      <c r="B125"/>
      <c r="C125"/>
    </row>
    <row r="126" spans="1:3">
      <c r="A126" s="265" t="s">
        <v>604</v>
      </c>
      <c r="B126"/>
      <c r="C126"/>
    </row>
    <row r="127" spans="1:3">
      <c r="A127" s="265" t="s">
        <v>605</v>
      </c>
      <c r="B127"/>
      <c r="C127"/>
    </row>
    <row r="128" spans="1:3">
      <c r="A128" s="265" t="s">
        <v>606</v>
      </c>
      <c r="B128"/>
      <c r="C128"/>
    </row>
    <row r="129" spans="1:3">
      <c r="A129" s="265" t="s">
        <v>607</v>
      </c>
      <c r="B129"/>
      <c r="C129"/>
    </row>
    <row r="130" spans="1:3">
      <c r="A130" s="265" t="s">
        <v>608</v>
      </c>
      <c r="B130"/>
      <c r="C130"/>
    </row>
    <row r="131" spans="1:3">
      <c r="A131" s="264" t="s">
        <v>609</v>
      </c>
      <c r="B131"/>
      <c r="C131"/>
    </row>
    <row r="132" spans="1:3">
      <c r="A132" s="264" t="s">
        <v>610</v>
      </c>
      <c r="B132"/>
      <c r="C132"/>
    </row>
    <row r="133" spans="1:3">
      <c r="A133" s="264" t="s">
        <v>611</v>
      </c>
      <c r="B133"/>
      <c r="C133"/>
    </row>
    <row r="134" spans="1:3">
      <c r="A134" s="264" t="s">
        <v>612</v>
      </c>
      <c r="B134"/>
      <c r="C134"/>
    </row>
    <row r="135" spans="1:3">
      <c r="A135" s="264" t="s">
        <v>613</v>
      </c>
      <c r="B135"/>
      <c r="C135"/>
    </row>
    <row r="136" spans="1:3">
      <c r="A136" s="264" t="s">
        <v>614</v>
      </c>
      <c r="B136"/>
      <c r="C136"/>
    </row>
    <row r="137" spans="1:3">
      <c r="A137" s="264" t="s">
        <v>560</v>
      </c>
      <c r="B137"/>
      <c r="C137"/>
    </row>
    <row r="138" spans="1:3">
      <c r="A138" s="264" t="s">
        <v>433</v>
      </c>
      <c r="B138"/>
      <c r="C138"/>
    </row>
    <row r="139" spans="1:3">
      <c r="A139" s="264" t="s">
        <v>434</v>
      </c>
      <c r="B139"/>
      <c r="C139"/>
    </row>
    <row r="140" spans="1:3">
      <c r="A140" s="264" t="s">
        <v>435</v>
      </c>
      <c r="B140"/>
      <c r="C140"/>
    </row>
    <row r="141" spans="1:3">
      <c r="A141" s="264" t="s">
        <v>436</v>
      </c>
      <c r="B141"/>
      <c r="C141"/>
    </row>
    <row r="142" spans="1:3">
      <c r="A142" s="264" t="s">
        <v>437</v>
      </c>
      <c r="B142"/>
      <c r="C142"/>
    </row>
    <row r="143" spans="1:3">
      <c r="A143" s="264" t="s">
        <v>615</v>
      </c>
      <c r="B143"/>
      <c r="C143"/>
    </row>
    <row r="144" spans="1:3">
      <c r="A144" s="264" t="s">
        <v>616</v>
      </c>
      <c r="B144"/>
      <c r="C144"/>
    </row>
    <row r="145" spans="1:3">
      <c r="A145" s="264" t="s">
        <v>617</v>
      </c>
      <c r="B145"/>
      <c r="C145"/>
    </row>
    <row r="146" spans="1:3">
      <c r="A146" s="264" t="s">
        <v>618</v>
      </c>
      <c r="B146"/>
      <c r="C146"/>
    </row>
    <row r="147" spans="1:3">
      <c r="B147"/>
      <c r="C147"/>
    </row>
    <row r="148" spans="1:3">
      <c r="B148"/>
      <c r="C148"/>
    </row>
    <row r="149" spans="1:3">
      <c r="B149"/>
      <c r="C149"/>
    </row>
    <row r="150" spans="1:3">
      <c r="B150"/>
      <c r="C150"/>
    </row>
    <row r="151" spans="1:3">
      <c r="B151"/>
      <c r="C151"/>
    </row>
    <row r="152" spans="1:3">
      <c r="B152"/>
      <c r="C152"/>
    </row>
    <row r="153" spans="1:3">
      <c r="B153"/>
      <c r="C153"/>
    </row>
    <row r="154" spans="1:3">
      <c r="B154"/>
      <c r="C154"/>
    </row>
    <row r="155" spans="1:3">
      <c r="B155"/>
      <c r="C155"/>
    </row>
    <row r="156" spans="1:3">
      <c r="B156"/>
      <c r="C156"/>
    </row>
    <row r="157" spans="1:3">
      <c r="B157"/>
      <c r="C157"/>
    </row>
    <row r="158" spans="1:3">
      <c r="B158"/>
      <c r="C158"/>
    </row>
    <row r="159" spans="1:3">
      <c r="B159"/>
      <c r="C159"/>
    </row>
    <row r="160" spans="1:3">
      <c r="B160"/>
      <c r="C160"/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9"/>
  <dimension ref="A1:J14"/>
  <sheetViews>
    <sheetView workbookViewId="0">
      <selection sqref="A1:XFD1048576"/>
    </sheetView>
  </sheetViews>
  <sheetFormatPr defaultColWidth="9.140625" defaultRowHeight="15"/>
  <cols>
    <col min="1" max="7" width="9.140625" style="9"/>
    <col min="8" max="8" width="10.28515625" style="9" bestFit="1" customWidth="1"/>
    <col min="9" max="16384" width="9.140625" style="9"/>
  </cols>
  <sheetData>
    <row r="1" spans="1:10">
      <c r="A1" s="9">
        <f t="array" aca="1" ref="A1:A3" ca="1">LARGE(A5:A14,ROW(INDIRECT("1:3")))</f>
        <v>244</v>
      </c>
    </row>
    <row r="2" spans="1:10">
      <c r="A2" s="9">
        <f ca="1"/>
        <v>123</v>
      </c>
    </row>
    <row r="3" spans="1:10">
      <c r="A3" s="9">
        <f ca="1"/>
        <v>100</v>
      </c>
    </row>
    <row r="4" spans="1:10">
      <c r="D4" s="9">
        <f>MATCH("№",'Free-Серия'!D1:D862,0)</f>
        <v>17</v>
      </c>
      <c r="G4" s="9" t="s">
        <v>364</v>
      </c>
    </row>
    <row r="5" spans="1:10">
      <c r="A5" s="9">
        <v>1</v>
      </c>
      <c r="J5" s="9">
        <f ca="1">ROW(INDIRECT("1:10"))</f>
        <v>1</v>
      </c>
    </row>
    <row r="6" spans="1:10">
      <c r="A6" s="9">
        <v>3</v>
      </c>
    </row>
    <row r="7" spans="1:10">
      <c r="A7" s="9">
        <v>15</v>
      </c>
    </row>
    <row r="8" spans="1:10">
      <c r="A8" s="9">
        <v>244</v>
      </c>
      <c r="H8" s="9">
        <f ca="1">INDIRECT(G4,1)</f>
        <v>244</v>
      </c>
    </row>
    <row r="9" spans="1:10">
      <c r="A9" s="9">
        <v>100</v>
      </c>
    </row>
    <row r="10" spans="1:10">
      <c r="A10" s="9">
        <v>13</v>
      </c>
    </row>
    <row r="11" spans="1:10">
      <c r="A11" s="9">
        <v>123</v>
      </c>
    </row>
    <row r="13" spans="1:10">
      <c r="F13" s="9">
        <f t="array" aca="1" ref="F13:F14" ca="1">SMALL(FFD_Колво,ROW(INDIRECT("1:2")))</f>
        <v>7</v>
      </c>
      <c r="G13" s="9" t="e">
        <f ca="1">IF(F13=ffdКолво,1,0)</f>
        <v>#NAME?</v>
      </c>
    </row>
    <row r="14" spans="1:10">
      <c r="F14" s="9">
        <f ca="1"/>
        <v>16</v>
      </c>
    </row>
  </sheetData>
  <sheetProtection password="CEE3" sheet="1" objects="1" scenarios="1" selectLockedCells="1" selectUnlockedCells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0"/>
  <dimension ref="B3:B7"/>
  <sheetViews>
    <sheetView workbookViewId="0">
      <selection sqref="A1:XFD1048576"/>
    </sheetView>
  </sheetViews>
  <sheetFormatPr defaultColWidth="9.140625" defaultRowHeight="15"/>
  <cols>
    <col min="1" max="1" width="9.140625" style="9"/>
    <col min="2" max="2" width="23.5703125" style="9" customWidth="1"/>
    <col min="3" max="3" width="11.28515625" style="9" customWidth="1"/>
    <col min="4" max="16384" width="9.140625" style="9"/>
  </cols>
  <sheetData>
    <row r="3" spans="2:2">
      <c r="B3" s="9" t="s">
        <v>401</v>
      </c>
    </row>
    <row r="6" spans="2:2">
      <c r="B6" s="9" t="s">
        <v>15</v>
      </c>
    </row>
    <row r="7" spans="2:2">
      <c r="B7" s="9" t="s">
        <v>61</v>
      </c>
    </row>
  </sheetData>
  <sheetProtection password="CEE3" sheet="1" objects="1" scenarios="1" selectLockedCells="1" selectUnlockedCells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6"/>
  <dimension ref="B1:S24"/>
  <sheetViews>
    <sheetView workbookViewId="0">
      <selection activeCell="S10" sqref="S10"/>
    </sheetView>
  </sheetViews>
  <sheetFormatPr defaultColWidth="9.140625" defaultRowHeight="15"/>
  <cols>
    <col min="1" max="1" width="3.7109375" style="9" customWidth="1"/>
    <col min="2" max="19" width="9.5703125" style="9" customWidth="1"/>
    <col min="20" max="16384" width="9.140625" style="9"/>
  </cols>
  <sheetData>
    <row r="1" spans="2:19">
      <c r="B1" s="140">
        <v>1</v>
      </c>
      <c r="C1" s="140"/>
      <c r="D1" s="140">
        <v>2</v>
      </c>
      <c r="E1" s="140"/>
      <c r="F1" s="140">
        <v>3</v>
      </c>
      <c r="G1" s="140"/>
      <c r="H1" s="140">
        <v>4</v>
      </c>
      <c r="I1" s="140"/>
      <c r="J1" s="140">
        <v>5</v>
      </c>
      <c r="K1" s="140"/>
      <c r="L1" s="140">
        <v>6</v>
      </c>
      <c r="M1" s="140"/>
      <c r="N1" s="140">
        <v>7</v>
      </c>
      <c r="O1" s="140"/>
      <c r="P1" s="140">
        <v>8</v>
      </c>
      <c r="Q1" s="140"/>
      <c r="R1" s="140">
        <v>9</v>
      </c>
      <c r="S1" s="140"/>
    </row>
    <row r="2" spans="2:19">
      <c r="B2" s="315" t="s">
        <v>98</v>
      </c>
      <c r="C2" s="261" t="s">
        <v>95</v>
      </c>
      <c r="D2" s="262" t="s">
        <v>125</v>
      </c>
      <c r="E2" s="262" t="s">
        <v>123</v>
      </c>
      <c r="F2" s="262" t="s">
        <v>132</v>
      </c>
      <c r="G2" s="262" t="s">
        <v>13</v>
      </c>
      <c r="H2" s="262" t="s">
        <v>25</v>
      </c>
      <c r="I2" s="262" t="s">
        <v>151</v>
      </c>
      <c r="J2" s="262" t="s">
        <v>172</v>
      </c>
      <c r="K2" s="262" t="s">
        <v>169</v>
      </c>
      <c r="L2" s="262" t="s">
        <v>180</v>
      </c>
      <c r="M2" s="262" t="s">
        <v>183</v>
      </c>
      <c r="N2" s="262" t="s">
        <v>41</v>
      </c>
      <c r="O2" s="262" t="s">
        <v>145</v>
      </c>
      <c r="P2" s="262" t="s">
        <v>44</v>
      </c>
      <c r="Q2" s="262" t="s">
        <v>44</v>
      </c>
      <c r="R2" s="262" t="s">
        <v>44</v>
      </c>
      <c r="S2" s="262" t="s">
        <v>44</v>
      </c>
    </row>
    <row r="3" spans="2:19">
      <c r="B3" s="315" t="s">
        <v>100</v>
      </c>
      <c r="C3" s="261" t="s">
        <v>97</v>
      </c>
      <c r="D3" s="262" t="s">
        <v>126</v>
      </c>
      <c r="E3" s="262" t="s">
        <v>124</v>
      </c>
      <c r="F3" s="262" t="s">
        <v>133</v>
      </c>
      <c r="G3" s="262" t="s">
        <v>14</v>
      </c>
      <c r="H3" s="262" t="s">
        <v>26</v>
      </c>
      <c r="I3" s="262" t="s">
        <v>152</v>
      </c>
      <c r="J3" s="262" t="s">
        <v>173</v>
      </c>
      <c r="K3" s="262" t="s">
        <v>170</v>
      </c>
      <c r="L3" s="262" t="s">
        <v>248</v>
      </c>
      <c r="M3" s="262" t="s">
        <v>210</v>
      </c>
      <c r="N3" s="262" t="s">
        <v>42</v>
      </c>
      <c r="O3" s="262" t="s">
        <v>42</v>
      </c>
      <c r="P3" s="262" t="s">
        <v>42</v>
      </c>
      <c r="Q3" s="262" t="s">
        <v>42</v>
      </c>
      <c r="R3" s="262" t="s">
        <v>42</v>
      </c>
      <c r="S3" s="262" t="s">
        <v>42</v>
      </c>
    </row>
    <row r="4" spans="2:19">
      <c r="B4" s="315" t="s">
        <v>17</v>
      </c>
      <c r="C4" s="261" t="s">
        <v>361</v>
      </c>
      <c r="D4" s="262" t="s">
        <v>7</v>
      </c>
      <c r="E4" s="262" t="s">
        <v>359</v>
      </c>
      <c r="F4" s="262" t="s">
        <v>11</v>
      </c>
      <c r="G4" s="262" t="s">
        <v>357</v>
      </c>
      <c r="H4" s="262" t="s">
        <v>206</v>
      </c>
      <c r="I4" s="262" t="s">
        <v>355</v>
      </c>
      <c r="J4" s="262" t="s">
        <v>236</v>
      </c>
      <c r="K4" s="262" t="s">
        <v>39</v>
      </c>
      <c r="L4" s="262" t="s">
        <v>246</v>
      </c>
      <c r="M4" s="262" t="s">
        <v>212</v>
      </c>
      <c r="N4" s="262" t="s">
        <v>217</v>
      </c>
      <c r="O4" s="262" t="s">
        <v>217</v>
      </c>
      <c r="P4" s="262" t="s">
        <v>45</v>
      </c>
      <c r="Q4" s="262" t="s">
        <v>45</v>
      </c>
      <c r="R4" s="262" t="s">
        <v>45</v>
      </c>
      <c r="S4" s="262" t="s">
        <v>45</v>
      </c>
    </row>
    <row r="5" spans="2:19">
      <c r="B5" s="315" t="s">
        <v>19</v>
      </c>
      <c r="C5" s="261" t="s">
        <v>19</v>
      </c>
      <c r="D5" s="262" t="s">
        <v>4</v>
      </c>
      <c r="E5" s="262" t="s">
        <v>4</v>
      </c>
      <c r="F5" s="262" t="s">
        <v>4</v>
      </c>
      <c r="G5" s="262" t="s">
        <v>4</v>
      </c>
      <c r="H5" s="262" t="s">
        <v>4</v>
      </c>
      <c r="I5" s="262" t="s">
        <v>4</v>
      </c>
      <c r="J5" s="262" t="s">
        <v>4</v>
      </c>
      <c r="K5" s="262" t="s">
        <v>4</v>
      </c>
      <c r="L5" s="262" t="s">
        <v>243</v>
      </c>
      <c r="M5" s="262" t="s">
        <v>214</v>
      </c>
      <c r="N5" s="262" t="s">
        <v>43</v>
      </c>
      <c r="O5" s="262" t="s">
        <v>43</v>
      </c>
      <c r="P5" s="314" t="e">
        <f>INDEX(Вариант_Пт,MATCH(NDUDS,Вариант_Пт_Номера,0)+VLOOKUP(НСегмент,ЦСегмент,2,0)*4,5)</f>
        <v>#REF!</v>
      </c>
      <c r="Q5" s="293" t="e">
        <f>INDEX(Вариант_Пт,MATCH(NDUDS,Вариант_Пт_Номера,0),5)</f>
        <v>#REF!</v>
      </c>
      <c r="R5" s="314" t="e">
        <f>INDEX(Вариант_Пт,MATCH(NDUDS,Вариант_Пт_Номера,0)+VLOOKUP(НСегмент,ЦСегмент,2,0)*4,5)</f>
        <v>#REF!</v>
      </c>
      <c r="S5" s="293" t="e">
        <f>INDEX(Вариант_Пт,MATCH(NDUDS,Вариант_Пт_Номера,0),5)</f>
        <v>#REF!</v>
      </c>
    </row>
    <row r="6" spans="2:19">
      <c r="B6" s="315" t="s">
        <v>21</v>
      </c>
      <c r="C6" s="261" t="s">
        <v>21</v>
      </c>
      <c r="D6" s="262" t="s">
        <v>204</v>
      </c>
      <c r="E6" s="262" t="s">
        <v>204</v>
      </c>
      <c r="F6" s="262" t="s">
        <v>203</v>
      </c>
      <c r="G6" s="262" t="s">
        <v>203</v>
      </c>
      <c r="H6" s="262" t="s">
        <v>27</v>
      </c>
      <c r="I6" s="262" t="s">
        <v>27</v>
      </c>
      <c r="J6" s="262" t="s">
        <v>28</v>
      </c>
      <c r="K6" s="262" t="s">
        <v>28</v>
      </c>
      <c r="L6" s="262" t="s">
        <v>242</v>
      </c>
      <c r="M6" s="262" t="s">
        <v>213</v>
      </c>
      <c r="N6" s="314" t="e">
        <f>INDEX(Вариант_Пт,MATCH(NMAXI,Вариант_Пт_Номера,0)+VLOOKUP(НСегмент,ЦСегмент,2,0)*2,5)</f>
        <v>#REF!</v>
      </c>
      <c r="O6" s="314" t="e">
        <f>INDEX(Вариант_Пт,MATCH(NMAXI,Вариант_Пт_Номера,0)+VLOOKUP(НСегмент,ЦСегмент,2,0)*2,5)</f>
        <v>#REF!</v>
      </c>
      <c r="P6" s="314" t="e">
        <f>INDEX(Вариант_Пт,MATCH(NDUDS,Вариант_Пт_Номера,0)+VLOOKUP(НСегмент,ЦСегмент,2,0)*4+1,5)</f>
        <v>#REF!</v>
      </c>
      <c r="Q6" s="293" t="e">
        <f>INDEX(Вариант_Пт,MATCH(NDUDS,Вариант_Пт_Номера,0)+1,5)</f>
        <v>#REF!</v>
      </c>
      <c r="R6" s="314" t="e">
        <f>INDEX(Вариант_Пт,MATCH(NDUDS,Вариант_Пт_Номера,0)+VLOOKUP(НСегмент,ЦСегмент,2,0)*4+1,5)</f>
        <v>#REF!</v>
      </c>
      <c r="S6" s="293" t="e">
        <f>INDEX(Вариант_Пт,MATCH(NDUDS,Вариант_Пт_Номера,0)+1,5)</f>
        <v>#REF!</v>
      </c>
    </row>
    <row r="7" spans="2:19">
      <c r="B7" s="314" t="str">
        <f>INDEX(Вариант_Пт,MATCH(NFFD,Вариант_Пт_Номера,0)+VLOOKUP(НСегмент,ЦСегмент,2,0)*2,5)</f>
        <v>329.03.640</v>
      </c>
      <c r="C7" s="292" t="str">
        <f>INDEX(Вариант_Пт,MATCH(NFFD,Вариант_Пт_Номера,0),5)</f>
        <v>329.03.640</v>
      </c>
      <c r="D7" s="262" t="s">
        <v>203</v>
      </c>
      <c r="E7" s="262" t="s">
        <v>203</v>
      </c>
      <c r="F7" s="262"/>
      <c r="G7" s="262"/>
      <c r="H7" s="262" t="s">
        <v>28</v>
      </c>
      <c r="I7" s="262" t="s">
        <v>28</v>
      </c>
      <c r="J7" s="262" t="s">
        <v>233</v>
      </c>
      <c r="K7" s="262" t="s">
        <v>233</v>
      </c>
      <c r="L7" s="314" t="str">
        <f>INDEX(Вариант_Пт,MATCH(NFFH15,Вариант_Пт_Номера,0)+VLOOKUP(НСегмент,ЦСегмент,2,0)*4,5)</f>
        <v>329.17.700</v>
      </c>
      <c r="M7" s="314" t="str">
        <f>INDEX(Вариант_Пт,MATCH(NFFH15,Вариант_Пт_Номера,0)+VLOOKUP(НСегмент,ЦСегмент,2,0)*4,5)</f>
        <v>329.17.700</v>
      </c>
      <c r="N7" s="314" t="e">
        <f>INDEX(Вариант_Пт,MATCH(NMAXI,Вариант_Пт_Номера,0)+VLOOKUP(НСегмент,ЦСегмент,2,0)*2+1,5)</f>
        <v>#REF!</v>
      </c>
      <c r="O7" s="314" t="e">
        <f>INDEX(Вариант_Пт,MATCH(NMAXI,Вариант_Пт_Номера,0)+VLOOKUP(НСегмент,ЦСегмент,2,0)*2+1,5)</f>
        <v>#REF!</v>
      </c>
      <c r="P7" s="314" t="e">
        <f>INDEX(Вариант_Пт,MATCH(NDUDS,Вариант_Пт_Номера,0)+VLOOKUP(НСегмент,ЦСегмент,2,0)*4+2,5)</f>
        <v>#REF!</v>
      </c>
      <c r="Q7" s="293" t="e">
        <f>INDEX(Вариант_Пт,MATCH(NDUDS,Вариант_Пт_Номера,0)+2,5)</f>
        <v>#REF!</v>
      </c>
      <c r="R7" s="314" t="e">
        <f>INDEX(Вариант_Пт,MATCH(NDUDS,Вариант_Пт_Номера,0)+VLOOKUP(НСегмент,ЦСегмент,2,0)*4+2,5)</f>
        <v>#REF!</v>
      </c>
      <c r="S7" s="293" t="e">
        <f>INDEX(Вариант_Пт,MATCH(NDUDS,Вариант_Пт_Номера,0)+2,5)</f>
        <v>#REF!</v>
      </c>
    </row>
    <row r="8" spans="2:19">
      <c r="B8" s="314" t="str">
        <f>INDEX(Вариант_Пт,MATCH(NFFD,Вариант_Пт_Номера,0)+VLOOKUP(НСегмент,ЦСегмент,2,0)*2+1,5)</f>
        <v>329.73.503</v>
      </c>
      <c r="C8" s="292" t="str">
        <f>INDEX(Вариант_Пт,MATCH(NFFD,Вариант_Пт_Номера,0)+1,5)</f>
        <v>329.73.503</v>
      </c>
      <c r="D8" s="262"/>
      <c r="E8" s="262"/>
      <c r="F8" s="262" t="s">
        <v>528</v>
      </c>
      <c r="G8" s="262" t="str">
        <f>F8</f>
        <v>372.91.479</v>
      </c>
      <c r="H8" s="262" t="s">
        <v>203</v>
      </c>
      <c r="I8" s="262" t="s">
        <v>203</v>
      </c>
      <c r="J8" s="262" t="s">
        <v>203</v>
      </c>
      <c r="K8" s="262" t="s">
        <v>203</v>
      </c>
      <c r="L8" s="314" t="str">
        <f>INDEX(Вариант_Пт,MATCH(NFFH15,Вариант_Пт_Номера,0)+VLOOKUP(НСегмент,ЦСегмент,2,0)*4+1,5)</f>
        <v>329.73.503</v>
      </c>
      <c r="M8" s="314" t="str">
        <f>INDEX(Вариант_Пт,MATCH(NFFH15,Вариант_Пт_Номера,0)+VLOOKUP(НСегмент,ЦСегмент,2,0)*4+1,5)</f>
        <v>329.73.503</v>
      </c>
      <c r="N8" s="262"/>
      <c r="O8" s="262"/>
      <c r="P8" s="314" t="e">
        <f>INDEX(Вариант_Пт,MATCH(NDUDS,Вариант_Пт_Номера,0)+VLOOKUP(НСегмент,ЦСегмент,2,0)*4+1+2,5)</f>
        <v>#REF!</v>
      </c>
      <c r="Q8" s="293" t="e">
        <f>INDEX(Вариант_Пт,MATCH(NDUDS,Вариант_Пт_Номера,0)+2+1,5)</f>
        <v>#REF!</v>
      </c>
      <c r="R8" s="314" t="e">
        <f>INDEX(Вариант_Пт,MATCH(NDUDS,Вариант_Пт_Номера,0)+VLOOKUP(НСегмент,ЦСегмент,2,0)*4+1+2,5)</f>
        <v>#REF!</v>
      </c>
      <c r="S8" s="293" t="e">
        <f>INDEX(Вариант_Пт,MATCH(NDUDS,Вариант_Пт_Номера,0)+2+1,5)</f>
        <v>#REF!</v>
      </c>
    </row>
    <row r="9" spans="2:19">
      <c r="B9" s="315" t="s">
        <v>192</v>
      </c>
      <c r="C9" s="261" t="s">
        <v>192</v>
      </c>
      <c r="D9" s="262" t="s">
        <v>528</v>
      </c>
      <c r="E9" s="262" t="str">
        <f>D9</f>
        <v>372.91.479</v>
      </c>
      <c r="F9" s="262"/>
      <c r="G9" s="262"/>
      <c r="H9" s="262"/>
      <c r="I9" s="262"/>
      <c r="J9" s="262"/>
      <c r="K9" s="262"/>
      <c r="L9" s="314" t="str">
        <f>INDEX(Вариант_Пт,MATCH(NFFH15,Вариант_Пт_Номера,0)+VLOOKUP(НСегмент,ЦСегмент,2,0)*4+2,5)</f>
        <v>329.17.600</v>
      </c>
      <c r="M9" s="314" t="str">
        <f>INDEX(Вариант_Пт,MATCH(NFFH15,Вариант_Пт_Номера,0)+VLOOKUP(НСегмент,ЦСегмент,2,0)*4+2,5)</f>
        <v>329.17.600</v>
      </c>
      <c r="N9" s="262"/>
      <c r="O9" s="262"/>
      <c r="P9" s="262" t="s">
        <v>349</v>
      </c>
      <c r="Q9" s="262" t="s">
        <v>349</v>
      </c>
      <c r="R9" s="262" t="s">
        <v>349</v>
      </c>
      <c r="S9" s="262" t="s">
        <v>349</v>
      </c>
    </row>
    <row r="10" spans="2:19">
      <c r="B10" s="315" t="s">
        <v>194</v>
      </c>
      <c r="C10" s="261" t="s">
        <v>194</v>
      </c>
      <c r="D10" s="262"/>
      <c r="E10" s="262"/>
      <c r="F10" s="262"/>
      <c r="G10" s="262"/>
      <c r="H10" s="262"/>
      <c r="I10" s="262"/>
      <c r="J10" s="262"/>
      <c r="K10" s="262"/>
      <c r="L10" s="314" t="str">
        <f>INDEX(Вариант_Пт,MATCH(NFFH15,Вариант_Пт_Номера,0)+VLOOKUP(НСегмент,ЦСегмент,2,0)*4+1+2,5)</f>
        <v>316.51.502</v>
      </c>
      <c r="M10" s="314" t="str">
        <f>INDEX(Вариант_Пт,MATCH(NFFH15,Вариант_Пт_Номера,0)+VLOOKUP(НСегмент,ЦСегмент,2,0)*4+1+2,5)</f>
        <v>316.51.502</v>
      </c>
      <c r="N10" s="262"/>
      <c r="O10" s="262"/>
      <c r="P10" s="391" t="str">
        <f>INDEX(Вариант_Пт,MATCH(20,Вариант_Пт_Номера,0)+VLOOKUP(НСегмент,ЦСегмент,2,0)*2,5)</f>
        <v>329.17.900</v>
      </c>
      <c r="Q10" s="262" t="e">
        <f>INDEX(Вариант_Пт,MATCH(NDUDS,Вариант_Пт_Номера,0)+VLOOKUP(НСегмент,ЦСегмент,2,0)*4,5)</f>
        <v>#REF!</v>
      </c>
      <c r="R10" s="391" t="str">
        <f>INDEX(Вариант_Пт,MATCH(20,Вариант_Пт_Номера,0)+VLOOKUP(НСегмент,ЦСегмент,2,0)*2,5)</f>
        <v>329.17.900</v>
      </c>
      <c r="S10" s="262" t="e">
        <f>INDEX(Вариант_Пт,MATCH(NDUDS,Вариант_Пт_Номера,0)+VLOOKUP(НСегмент,ЦСегмент,2,0)*4,5)</f>
        <v>#REF!</v>
      </c>
    </row>
    <row r="11" spans="2:19">
      <c r="B11" s="262"/>
      <c r="C11" s="262"/>
      <c r="D11" s="262"/>
      <c r="E11" s="262"/>
      <c r="F11" s="262"/>
      <c r="G11" s="262"/>
      <c r="H11" s="262"/>
      <c r="I11" s="262"/>
      <c r="J11" s="262"/>
      <c r="K11" s="262"/>
      <c r="L11" s="262" t="s">
        <v>349</v>
      </c>
      <c r="M11" s="262" t="s">
        <v>349</v>
      </c>
      <c r="N11" s="262"/>
      <c r="O11" s="262"/>
      <c r="P11" s="391" t="str">
        <f>INDEX(Вариант_Пт,MATCH(20,Вариант_Пт_Номера,0)+VLOOKUP(НСегмент,ЦСегмент,2,0)*2+1,5)</f>
        <v>316.51.502</v>
      </c>
      <c r="Q11" s="262"/>
      <c r="R11" s="391" t="str">
        <f>INDEX(Вариант_Пт,MATCH(20,Вариант_Пт_Номера,0)+VLOOKUP(НСегмент,ЦСегмент,2,0)*2+1,5)</f>
        <v>316.51.502</v>
      </c>
      <c r="S11" s="262"/>
    </row>
    <row r="12" spans="2:19"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2" t="s">
        <v>35</v>
      </c>
      <c r="M12" s="262" t="s">
        <v>35</v>
      </c>
      <c r="N12" s="262"/>
      <c r="O12" s="262"/>
      <c r="P12" s="293" t="s">
        <v>540</v>
      </c>
      <c r="Q12" s="262"/>
      <c r="R12" s="293" t="s">
        <v>540</v>
      </c>
      <c r="S12" s="262"/>
    </row>
    <row r="13" spans="2:19">
      <c r="B13" s="262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 t="s">
        <v>543</v>
      </c>
      <c r="Q13" s="262"/>
      <c r="R13" s="262" t="s">
        <v>543</v>
      </c>
      <c r="S13" s="262"/>
    </row>
    <row r="14" spans="2:19"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2"/>
      <c r="P14" s="262" t="s">
        <v>545</v>
      </c>
      <c r="Q14" s="262"/>
      <c r="R14" s="262" t="s">
        <v>545</v>
      </c>
      <c r="S14" s="262"/>
    </row>
    <row r="15" spans="2:19"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</row>
    <row r="16" spans="2:19"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</row>
    <row r="17" spans="2:19"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</row>
    <row r="18" spans="2:19">
      <c r="B18" s="262"/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</row>
    <row r="19" spans="2:19">
      <c r="B19" s="262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</row>
    <row r="20" spans="2:19">
      <c r="B20" s="262"/>
      <c r="C20" s="262"/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62"/>
      <c r="Q20" s="262"/>
      <c r="R20" s="262"/>
      <c r="S20" s="262"/>
    </row>
    <row r="21" spans="2:19">
      <c r="B21" s="262"/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</row>
    <row r="22" spans="2:19"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</row>
    <row r="23" spans="2:19"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  <c r="S23" s="176"/>
    </row>
    <row r="24" spans="2:19"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  <c r="Q24" s="176"/>
      <c r="R24" s="176"/>
      <c r="S24" s="176"/>
    </row>
  </sheetData>
  <sheetProtection password="CEE3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4"/>
  <dimension ref="A2:G128"/>
  <sheetViews>
    <sheetView topLeftCell="A37" workbookViewId="0">
      <selection activeCell="F51" sqref="F51:F52"/>
    </sheetView>
  </sheetViews>
  <sheetFormatPr defaultRowHeight="15"/>
  <cols>
    <col min="2" max="2" width="22.85546875" customWidth="1"/>
    <col min="3" max="3" width="30.85546875" customWidth="1"/>
    <col min="4" max="4" width="17.140625" customWidth="1"/>
    <col min="5" max="5" width="14.85546875" customWidth="1"/>
    <col min="6" max="6" width="66.5703125" customWidth="1"/>
  </cols>
  <sheetData>
    <row r="2" spans="1:7">
      <c r="A2" s="251" t="s">
        <v>260</v>
      </c>
      <c r="B2" s="251" t="s">
        <v>261</v>
      </c>
      <c r="C2" s="251"/>
      <c r="D2" s="251" t="s">
        <v>479</v>
      </c>
      <c r="E2" s="251" t="s">
        <v>1</v>
      </c>
      <c r="F2" s="251" t="s">
        <v>2</v>
      </c>
    </row>
    <row r="3" spans="1:7">
      <c r="A3" s="252" t="s">
        <v>266</v>
      </c>
      <c r="B3" s="252" t="s">
        <v>481</v>
      </c>
      <c r="C3" s="252" t="s">
        <v>481</v>
      </c>
      <c r="D3" s="360" t="s">
        <v>341</v>
      </c>
      <c r="E3" s="181" t="s">
        <v>44</v>
      </c>
      <c r="F3" s="253" t="s">
        <v>340</v>
      </c>
      <c r="G3" s="364">
        <f t="shared" ref="G3:G35" si="0">INDEX(Таб_ПМ_Наценка,MATCH(D3,Таб_ПМ,0),2)</f>
        <v>0.15</v>
      </c>
    </row>
    <row r="4" spans="1:7">
      <c r="A4" s="252" t="s">
        <v>266</v>
      </c>
      <c r="B4" s="252" t="s">
        <v>481</v>
      </c>
      <c r="C4" s="252" t="s">
        <v>481</v>
      </c>
      <c r="D4" s="360" t="s">
        <v>341</v>
      </c>
      <c r="E4" s="181" t="s">
        <v>508</v>
      </c>
      <c r="F4" s="253" t="s">
        <v>509</v>
      </c>
      <c r="G4" s="364">
        <f>INDEX(Таб_ПМ_Наценка,MATCH(D4,Таб_ПМ,0),2)</f>
        <v>0.15</v>
      </c>
    </row>
    <row r="5" spans="1:7">
      <c r="A5" s="252" t="s">
        <v>266</v>
      </c>
      <c r="B5" s="252" t="s">
        <v>481</v>
      </c>
      <c r="C5" s="252" t="s">
        <v>481</v>
      </c>
      <c r="D5" s="360" t="s">
        <v>33</v>
      </c>
      <c r="E5" s="181" t="s">
        <v>10</v>
      </c>
      <c r="F5" s="253" t="s">
        <v>296</v>
      </c>
      <c r="G5" s="364">
        <f t="shared" si="0"/>
        <v>0.15</v>
      </c>
    </row>
    <row r="6" spans="1:7">
      <c r="A6" s="252" t="s">
        <v>266</v>
      </c>
      <c r="B6" s="252" t="s">
        <v>481</v>
      </c>
      <c r="C6" s="252" t="s">
        <v>481</v>
      </c>
      <c r="D6" s="360" t="s">
        <v>33</v>
      </c>
      <c r="E6" s="181" t="s">
        <v>9</v>
      </c>
      <c r="F6" s="253" t="s">
        <v>293</v>
      </c>
      <c r="G6" s="364">
        <f t="shared" si="0"/>
        <v>0.15</v>
      </c>
    </row>
    <row r="7" spans="1:7">
      <c r="A7" s="252" t="s">
        <v>266</v>
      </c>
      <c r="B7" s="252" t="s">
        <v>481</v>
      </c>
      <c r="C7" s="252" t="s">
        <v>481</v>
      </c>
      <c r="D7" s="360" t="s">
        <v>33</v>
      </c>
      <c r="E7" s="181" t="s">
        <v>124</v>
      </c>
      <c r="F7" s="253" t="s">
        <v>297</v>
      </c>
      <c r="G7" s="364">
        <f t="shared" si="0"/>
        <v>0.15</v>
      </c>
    </row>
    <row r="8" spans="1:7">
      <c r="A8" s="252" t="s">
        <v>266</v>
      </c>
      <c r="B8" s="252" t="s">
        <v>481</v>
      </c>
      <c r="C8" s="252" t="s">
        <v>481</v>
      </c>
      <c r="D8" s="360" t="s">
        <v>33</v>
      </c>
      <c r="E8" s="181" t="s">
        <v>123</v>
      </c>
      <c r="F8" s="253" t="s">
        <v>294</v>
      </c>
      <c r="G8" s="364">
        <f t="shared" si="0"/>
        <v>0.15</v>
      </c>
    </row>
    <row r="9" spans="1:7">
      <c r="A9" s="252" t="s">
        <v>266</v>
      </c>
      <c r="B9" s="252" t="s">
        <v>481</v>
      </c>
      <c r="C9" s="252" t="s">
        <v>481</v>
      </c>
      <c r="D9" s="360" t="s">
        <v>33</v>
      </c>
      <c r="E9" s="181" t="s">
        <v>126</v>
      </c>
      <c r="F9" s="253" t="s">
        <v>298</v>
      </c>
      <c r="G9" s="364">
        <f t="shared" si="0"/>
        <v>0.15</v>
      </c>
    </row>
    <row r="10" spans="1:7">
      <c r="A10" s="252" t="s">
        <v>266</v>
      </c>
      <c r="B10" s="252" t="s">
        <v>481</v>
      </c>
      <c r="C10" s="252" t="s">
        <v>481</v>
      </c>
      <c r="D10" s="360" t="s">
        <v>33</v>
      </c>
      <c r="E10" s="181" t="s">
        <v>125</v>
      </c>
      <c r="F10" s="253" t="s">
        <v>295</v>
      </c>
      <c r="G10" s="364">
        <f t="shared" si="0"/>
        <v>0.15</v>
      </c>
    </row>
    <row r="11" spans="1:7">
      <c r="A11" s="252" t="s">
        <v>266</v>
      </c>
      <c r="B11" s="252" t="s">
        <v>481</v>
      </c>
      <c r="C11" s="252" t="s">
        <v>481</v>
      </c>
      <c r="D11" s="360" t="s">
        <v>32</v>
      </c>
      <c r="E11" s="181" t="s">
        <v>14</v>
      </c>
      <c r="F11" s="253" t="s">
        <v>304</v>
      </c>
      <c r="G11" s="364">
        <f t="shared" si="0"/>
        <v>0.15</v>
      </c>
    </row>
    <row r="12" spans="1:7">
      <c r="A12" s="252" t="s">
        <v>266</v>
      </c>
      <c r="B12" s="252" t="s">
        <v>481</v>
      </c>
      <c r="C12" s="252" t="s">
        <v>481</v>
      </c>
      <c r="D12" s="360" t="s">
        <v>32</v>
      </c>
      <c r="E12" s="181" t="s">
        <v>13</v>
      </c>
      <c r="F12" s="253" t="s">
        <v>300</v>
      </c>
      <c r="G12" s="364">
        <f t="shared" si="0"/>
        <v>0.15</v>
      </c>
    </row>
    <row r="13" spans="1:7">
      <c r="A13" s="252" t="s">
        <v>266</v>
      </c>
      <c r="B13" s="252" t="s">
        <v>481</v>
      </c>
      <c r="C13" s="252" t="s">
        <v>481</v>
      </c>
      <c r="D13" s="360" t="s">
        <v>32</v>
      </c>
      <c r="E13" s="181" t="s">
        <v>133</v>
      </c>
      <c r="F13" s="253" t="s">
        <v>305</v>
      </c>
      <c r="G13" s="364">
        <f t="shared" si="0"/>
        <v>0.15</v>
      </c>
    </row>
    <row r="14" spans="1:7">
      <c r="A14" s="252" t="s">
        <v>266</v>
      </c>
      <c r="B14" s="252" t="s">
        <v>481</v>
      </c>
      <c r="C14" s="252" t="s">
        <v>481</v>
      </c>
      <c r="D14" s="360" t="s">
        <v>32</v>
      </c>
      <c r="E14" s="181" t="s">
        <v>132</v>
      </c>
      <c r="F14" s="253" t="s">
        <v>301</v>
      </c>
      <c r="G14" s="364">
        <f t="shared" si="0"/>
        <v>0.15</v>
      </c>
    </row>
    <row r="15" spans="1:7">
      <c r="A15" s="252" t="s">
        <v>266</v>
      </c>
      <c r="B15" s="252" t="s">
        <v>481</v>
      </c>
      <c r="C15" s="252" t="s">
        <v>481</v>
      </c>
      <c r="D15" s="360" t="s">
        <v>32</v>
      </c>
      <c r="E15" s="181" t="s">
        <v>136</v>
      </c>
      <c r="F15" s="253" t="s">
        <v>306</v>
      </c>
      <c r="G15" s="364">
        <f t="shared" si="0"/>
        <v>0.15</v>
      </c>
    </row>
    <row r="16" spans="1:7">
      <c r="A16" s="252" t="s">
        <v>266</v>
      </c>
      <c r="B16" s="252" t="s">
        <v>481</v>
      </c>
      <c r="C16" s="252" t="s">
        <v>481</v>
      </c>
      <c r="D16" s="360" t="s">
        <v>32</v>
      </c>
      <c r="E16" s="181" t="s">
        <v>135</v>
      </c>
      <c r="F16" s="253" t="s">
        <v>302</v>
      </c>
      <c r="G16" s="364">
        <f t="shared" si="0"/>
        <v>0.15</v>
      </c>
    </row>
    <row r="17" spans="1:7">
      <c r="A17" s="252" t="s">
        <v>266</v>
      </c>
      <c r="B17" s="252" t="s">
        <v>481</v>
      </c>
      <c r="C17" s="252" t="s">
        <v>481</v>
      </c>
      <c r="D17" s="360" t="s">
        <v>32</v>
      </c>
      <c r="E17" s="181" t="s">
        <v>139</v>
      </c>
      <c r="F17" s="253" t="s">
        <v>307</v>
      </c>
      <c r="G17" s="364">
        <f t="shared" si="0"/>
        <v>0.15</v>
      </c>
    </row>
    <row r="18" spans="1:7">
      <c r="A18" s="252" t="s">
        <v>266</v>
      </c>
      <c r="B18" s="252" t="s">
        <v>481</v>
      </c>
      <c r="C18" s="252" t="s">
        <v>481</v>
      </c>
      <c r="D18" s="360" t="s">
        <v>32</v>
      </c>
      <c r="E18" s="181" t="s">
        <v>138</v>
      </c>
      <c r="F18" s="253" t="s">
        <v>303</v>
      </c>
      <c r="G18" s="364">
        <f t="shared" si="0"/>
        <v>0.15</v>
      </c>
    </row>
    <row r="19" spans="1:7">
      <c r="A19" s="252" t="s">
        <v>266</v>
      </c>
      <c r="B19" s="252" t="s">
        <v>481</v>
      </c>
      <c r="C19" s="252" t="s">
        <v>481</v>
      </c>
      <c r="D19" s="360" t="s">
        <v>48</v>
      </c>
      <c r="E19" s="181" t="s">
        <v>181</v>
      </c>
      <c r="F19" s="253" t="s">
        <v>333</v>
      </c>
      <c r="G19" s="364">
        <f t="shared" si="0"/>
        <v>0.15</v>
      </c>
    </row>
    <row r="20" spans="1:7">
      <c r="A20" s="252" t="s">
        <v>266</v>
      </c>
      <c r="B20" s="252" t="s">
        <v>481</v>
      </c>
      <c r="C20" s="252" t="s">
        <v>481</v>
      </c>
      <c r="D20" s="360" t="s">
        <v>48</v>
      </c>
      <c r="E20" s="181" t="s">
        <v>180</v>
      </c>
      <c r="F20" s="253" t="s">
        <v>330</v>
      </c>
      <c r="G20" s="364">
        <f t="shared" si="0"/>
        <v>0.15</v>
      </c>
    </row>
    <row r="21" spans="1:7">
      <c r="A21" s="252" t="s">
        <v>266</v>
      </c>
      <c r="B21" s="252" t="s">
        <v>481</v>
      </c>
      <c r="C21" s="252" t="s">
        <v>481</v>
      </c>
      <c r="D21" s="360" t="s">
        <v>48</v>
      </c>
      <c r="E21" s="181" t="s">
        <v>183</v>
      </c>
      <c r="F21" s="253" t="s">
        <v>334</v>
      </c>
      <c r="G21" s="364">
        <f t="shared" si="0"/>
        <v>0.15</v>
      </c>
    </row>
    <row r="22" spans="1:7">
      <c r="A22" s="252" t="s">
        <v>266</v>
      </c>
      <c r="B22" s="252" t="s">
        <v>481</v>
      </c>
      <c r="C22" s="252" t="s">
        <v>481</v>
      </c>
      <c r="D22" s="360" t="s">
        <v>48</v>
      </c>
      <c r="E22" s="181" t="s">
        <v>182</v>
      </c>
      <c r="F22" s="253" t="s">
        <v>331</v>
      </c>
      <c r="G22" s="364">
        <f t="shared" si="0"/>
        <v>0.15</v>
      </c>
    </row>
    <row r="23" spans="1:7">
      <c r="A23" s="252" t="s">
        <v>266</v>
      </c>
      <c r="B23" s="252" t="s">
        <v>481</v>
      </c>
      <c r="C23" s="252" t="s">
        <v>481</v>
      </c>
      <c r="D23" s="360" t="s">
        <v>48</v>
      </c>
      <c r="E23" s="181" t="s">
        <v>185</v>
      </c>
      <c r="F23" s="253" t="s">
        <v>335</v>
      </c>
      <c r="G23" s="364">
        <f t="shared" si="0"/>
        <v>0.15</v>
      </c>
    </row>
    <row r="24" spans="1:7">
      <c r="A24" s="252" t="s">
        <v>266</v>
      </c>
      <c r="B24" s="252" t="s">
        <v>481</v>
      </c>
      <c r="C24" s="252" t="s">
        <v>481</v>
      </c>
      <c r="D24" s="360" t="s">
        <v>48</v>
      </c>
      <c r="E24" s="181" t="s">
        <v>184</v>
      </c>
      <c r="F24" s="253" t="s">
        <v>332</v>
      </c>
      <c r="G24" s="364">
        <f t="shared" si="0"/>
        <v>0.15</v>
      </c>
    </row>
    <row r="25" spans="1:7">
      <c r="A25" s="252" t="s">
        <v>266</v>
      </c>
      <c r="B25" s="252" t="s">
        <v>481</v>
      </c>
      <c r="C25" s="252" t="s">
        <v>481</v>
      </c>
      <c r="D25" s="360" t="s">
        <v>31</v>
      </c>
      <c r="E25" s="181" t="s">
        <v>23</v>
      </c>
      <c r="F25" s="253" t="s">
        <v>280</v>
      </c>
      <c r="G25" s="364">
        <f t="shared" si="0"/>
        <v>0.15</v>
      </c>
    </row>
    <row r="26" spans="1:7">
      <c r="A26" s="252" t="s">
        <v>266</v>
      </c>
      <c r="B26" s="252" t="s">
        <v>481</v>
      </c>
      <c r="C26" s="252" t="s">
        <v>481</v>
      </c>
      <c r="D26" s="360" t="s">
        <v>31</v>
      </c>
      <c r="E26" s="181" t="s">
        <v>24</v>
      </c>
      <c r="F26" s="253" t="s">
        <v>267</v>
      </c>
      <c r="G26" s="364">
        <f t="shared" si="0"/>
        <v>0.15</v>
      </c>
    </row>
    <row r="27" spans="1:7">
      <c r="A27" s="252" t="s">
        <v>266</v>
      </c>
      <c r="B27" s="252" t="s">
        <v>481</v>
      </c>
      <c r="C27" s="252" t="s">
        <v>481</v>
      </c>
      <c r="D27" s="360" t="s">
        <v>31</v>
      </c>
      <c r="E27" s="181" t="s">
        <v>94</v>
      </c>
      <c r="F27" s="253" t="s">
        <v>281</v>
      </c>
      <c r="G27" s="364">
        <f t="shared" si="0"/>
        <v>0.15</v>
      </c>
    </row>
    <row r="28" spans="1:7">
      <c r="A28" s="252" t="s">
        <v>266</v>
      </c>
      <c r="B28" s="252" t="s">
        <v>481</v>
      </c>
      <c r="C28" s="252" t="s">
        <v>481</v>
      </c>
      <c r="D28" s="360" t="s">
        <v>31</v>
      </c>
      <c r="E28" s="181" t="s">
        <v>92</v>
      </c>
      <c r="F28" s="253" t="s">
        <v>268</v>
      </c>
      <c r="G28" s="364">
        <f t="shared" si="0"/>
        <v>0.15</v>
      </c>
    </row>
    <row r="29" spans="1:7">
      <c r="A29" s="252" t="s">
        <v>266</v>
      </c>
      <c r="B29" s="252" t="s">
        <v>481</v>
      </c>
      <c r="C29" s="252" t="s">
        <v>481</v>
      </c>
      <c r="D29" s="360" t="s">
        <v>31</v>
      </c>
      <c r="E29" s="181" t="s">
        <v>97</v>
      </c>
      <c r="F29" s="253" t="s">
        <v>282</v>
      </c>
      <c r="G29" s="364">
        <f t="shared" si="0"/>
        <v>0.15</v>
      </c>
    </row>
    <row r="30" spans="1:7">
      <c r="A30" s="252" t="s">
        <v>266</v>
      </c>
      <c r="B30" s="252" t="s">
        <v>481</v>
      </c>
      <c r="C30" s="252" t="s">
        <v>481</v>
      </c>
      <c r="D30" s="360" t="s">
        <v>31</v>
      </c>
      <c r="E30" s="181" t="s">
        <v>95</v>
      </c>
      <c r="F30" s="253" t="s">
        <v>269</v>
      </c>
      <c r="G30" s="364">
        <f t="shared" si="0"/>
        <v>0.15</v>
      </c>
    </row>
    <row r="31" spans="1:7">
      <c r="A31" s="252" t="s">
        <v>266</v>
      </c>
      <c r="B31" s="252" t="s">
        <v>481</v>
      </c>
      <c r="C31" s="252" t="s">
        <v>481</v>
      </c>
      <c r="D31" s="360" t="s">
        <v>31</v>
      </c>
      <c r="E31" s="181" t="s">
        <v>100</v>
      </c>
      <c r="F31" s="253" t="s">
        <v>283</v>
      </c>
      <c r="G31" s="364">
        <f t="shared" si="0"/>
        <v>0.15</v>
      </c>
    </row>
    <row r="32" spans="1:7">
      <c r="A32" s="252" t="s">
        <v>266</v>
      </c>
      <c r="B32" s="252" t="s">
        <v>481</v>
      </c>
      <c r="C32" s="252" t="s">
        <v>481</v>
      </c>
      <c r="D32" s="360" t="s">
        <v>31</v>
      </c>
      <c r="E32" s="181" t="s">
        <v>98</v>
      </c>
      <c r="F32" s="253" t="s">
        <v>270</v>
      </c>
      <c r="G32" s="364">
        <f t="shared" si="0"/>
        <v>0.15</v>
      </c>
    </row>
    <row r="33" spans="1:7">
      <c r="A33" s="252" t="s">
        <v>266</v>
      </c>
      <c r="B33" s="252" t="s">
        <v>481</v>
      </c>
      <c r="C33" s="252" t="s">
        <v>481</v>
      </c>
      <c r="D33" s="360" t="s">
        <v>31</v>
      </c>
      <c r="E33" s="181" t="s">
        <v>103</v>
      </c>
      <c r="F33" s="253" t="s">
        <v>284</v>
      </c>
      <c r="G33" s="364">
        <f t="shared" si="0"/>
        <v>0.15</v>
      </c>
    </row>
    <row r="34" spans="1:7">
      <c r="A34" s="252" t="s">
        <v>266</v>
      </c>
      <c r="B34" s="252" t="s">
        <v>481</v>
      </c>
      <c r="C34" s="252" t="s">
        <v>481</v>
      </c>
      <c r="D34" s="360" t="s">
        <v>31</v>
      </c>
      <c r="E34" s="181" t="s">
        <v>101</v>
      </c>
      <c r="F34" s="253" t="s">
        <v>271</v>
      </c>
      <c r="G34" s="364">
        <f t="shared" si="0"/>
        <v>0.15</v>
      </c>
    </row>
    <row r="35" spans="1:7">
      <c r="A35" s="252" t="s">
        <v>266</v>
      </c>
      <c r="B35" s="252" t="s">
        <v>481</v>
      </c>
      <c r="C35" s="252" t="s">
        <v>481</v>
      </c>
      <c r="D35" s="360" t="s">
        <v>31</v>
      </c>
      <c r="E35" s="181" t="s">
        <v>106</v>
      </c>
      <c r="F35" s="253" t="s">
        <v>285</v>
      </c>
      <c r="G35" s="364">
        <f t="shared" si="0"/>
        <v>0.15</v>
      </c>
    </row>
    <row r="36" spans="1:7">
      <c r="A36" s="252" t="s">
        <v>266</v>
      </c>
      <c r="B36" s="252" t="s">
        <v>481</v>
      </c>
      <c r="C36" s="252" t="s">
        <v>481</v>
      </c>
      <c r="D36" s="360" t="s">
        <v>31</v>
      </c>
      <c r="E36" s="181" t="s">
        <v>104</v>
      </c>
      <c r="F36" s="253" t="s">
        <v>272</v>
      </c>
      <c r="G36" s="364">
        <f t="shared" ref="G36:G69" si="1">INDEX(Таб_ПМ_Наценка,MATCH(D36,Таб_ПМ,0),2)</f>
        <v>0.15</v>
      </c>
    </row>
    <row r="37" spans="1:7">
      <c r="A37" s="252" t="s">
        <v>266</v>
      </c>
      <c r="B37" s="252" t="s">
        <v>481</v>
      </c>
      <c r="C37" s="252" t="s">
        <v>481</v>
      </c>
      <c r="D37" s="360" t="s">
        <v>31</v>
      </c>
      <c r="E37" s="181" t="s">
        <v>109</v>
      </c>
      <c r="F37" s="253" t="s">
        <v>286</v>
      </c>
      <c r="G37" s="364">
        <f t="shared" si="1"/>
        <v>0.15</v>
      </c>
    </row>
    <row r="38" spans="1:7">
      <c r="A38" s="252" t="s">
        <v>266</v>
      </c>
      <c r="B38" s="252" t="s">
        <v>481</v>
      </c>
      <c r="C38" s="252" t="s">
        <v>481</v>
      </c>
      <c r="D38" s="360" t="s">
        <v>31</v>
      </c>
      <c r="E38" s="181" t="s">
        <v>107</v>
      </c>
      <c r="F38" s="253" t="s">
        <v>273</v>
      </c>
      <c r="G38" s="364">
        <f t="shared" si="1"/>
        <v>0.15</v>
      </c>
    </row>
    <row r="39" spans="1:7">
      <c r="A39" s="252" t="s">
        <v>266</v>
      </c>
      <c r="B39" s="252" t="s">
        <v>481</v>
      </c>
      <c r="C39" s="252" t="s">
        <v>481</v>
      </c>
      <c r="D39" s="360" t="s">
        <v>31</v>
      </c>
      <c r="E39" s="181" t="s">
        <v>112</v>
      </c>
      <c r="F39" s="253" t="s">
        <v>287</v>
      </c>
      <c r="G39" s="364">
        <f t="shared" si="1"/>
        <v>0.15</v>
      </c>
    </row>
    <row r="40" spans="1:7">
      <c r="A40" s="252" t="s">
        <v>266</v>
      </c>
      <c r="B40" s="252" t="s">
        <v>481</v>
      </c>
      <c r="C40" s="252" t="s">
        <v>481</v>
      </c>
      <c r="D40" s="360" t="s">
        <v>31</v>
      </c>
      <c r="E40" s="181" t="s">
        <v>110</v>
      </c>
      <c r="F40" s="253" t="s">
        <v>274</v>
      </c>
      <c r="G40" s="364">
        <f t="shared" si="1"/>
        <v>0.15</v>
      </c>
    </row>
    <row r="41" spans="1:7">
      <c r="A41" s="252" t="s">
        <v>266</v>
      </c>
      <c r="B41" s="252" t="s">
        <v>481</v>
      </c>
      <c r="C41" s="252" t="s">
        <v>481</v>
      </c>
      <c r="D41" s="360" t="s">
        <v>31</v>
      </c>
      <c r="E41" s="181" t="s">
        <v>115</v>
      </c>
      <c r="F41" s="253" t="s">
        <v>288</v>
      </c>
      <c r="G41" s="364">
        <f t="shared" si="1"/>
        <v>0.15</v>
      </c>
    </row>
    <row r="42" spans="1:7">
      <c r="A42" s="252" t="s">
        <v>266</v>
      </c>
      <c r="B42" s="252" t="s">
        <v>481</v>
      </c>
      <c r="C42" s="252" t="s">
        <v>481</v>
      </c>
      <c r="D42" s="360" t="s">
        <v>31</v>
      </c>
      <c r="E42" s="181" t="s">
        <v>113</v>
      </c>
      <c r="F42" s="253" t="s">
        <v>275</v>
      </c>
      <c r="G42" s="364">
        <f t="shared" si="1"/>
        <v>0.15</v>
      </c>
    </row>
    <row r="43" spans="1:7">
      <c r="A43" s="252" t="s">
        <v>266</v>
      </c>
      <c r="B43" s="252" t="s">
        <v>481</v>
      </c>
      <c r="C43" s="252" t="s">
        <v>481</v>
      </c>
      <c r="D43" s="360" t="s">
        <v>31</v>
      </c>
      <c r="E43" s="181" t="s">
        <v>118</v>
      </c>
      <c r="F43" s="253" t="s">
        <v>289</v>
      </c>
      <c r="G43" s="364">
        <f t="shared" si="1"/>
        <v>0.15</v>
      </c>
    </row>
    <row r="44" spans="1:7">
      <c r="A44" s="252" t="s">
        <v>266</v>
      </c>
      <c r="B44" s="252" t="s">
        <v>481</v>
      </c>
      <c r="C44" s="252" t="s">
        <v>481</v>
      </c>
      <c r="D44" s="360" t="s">
        <v>31</v>
      </c>
      <c r="E44" s="181" t="s">
        <v>116</v>
      </c>
      <c r="F44" s="253" t="s">
        <v>276</v>
      </c>
      <c r="G44" s="364">
        <f t="shared" si="1"/>
        <v>0.15</v>
      </c>
    </row>
    <row r="45" spans="1:7">
      <c r="A45" s="252" t="s">
        <v>266</v>
      </c>
      <c r="B45" s="252" t="s">
        <v>481</v>
      </c>
      <c r="C45" s="252" t="s">
        <v>481</v>
      </c>
      <c r="D45" s="360" t="s">
        <v>31</v>
      </c>
      <c r="E45" s="181" t="s">
        <v>121</v>
      </c>
      <c r="F45" s="253" t="s">
        <v>290</v>
      </c>
      <c r="G45" s="364">
        <f t="shared" si="1"/>
        <v>0.15</v>
      </c>
    </row>
    <row r="46" spans="1:7">
      <c r="A46" s="252" t="s">
        <v>266</v>
      </c>
      <c r="B46" s="252" t="s">
        <v>481</v>
      </c>
      <c r="C46" s="252" t="s">
        <v>481</v>
      </c>
      <c r="D46" s="360" t="s">
        <v>31</v>
      </c>
      <c r="E46" s="181" t="s">
        <v>119</v>
      </c>
      <c r="F46" s="253" t="s">
        <v>277</v>
      </c>
      <c r="G46" s="364">
        <f t="shared" si="1"/>
        <v>0.15</v>
      </c>
    </row>
    <row r="47" spans="1:7">
      <c r="A47" s="252" t="s">
        <v>266</v>
      </c>
      <c r="B47" s="252" t="s">
        <v>481</v>
      </c>
      <c r="C47" s="252" t="s">
        <v>481</v>
      </c>
      <c r="D47" s="360" t="s">
        <v>31</v>
      </c>
      <c r="E47" s="181" t="s">
        <v>220</v>
      </c>
      <c r="F47" s="253" t="s">
        <v>291</v>
      </c>
      <c r="G47" s="364">
        <f t="shared" si="1"/>
        <v>0.15</v>
      </c>
    </row>
    <row r="48" spans="1:7">
      <c r="A48" s="252" t="s">
        <v>266</v>
      </c>
      <c r="B48" s="252" t="s">
        <v>481</v>
      </c>
      <c r="C48" s="252" t="s">
        <v>481</v>
      </c>
      <c r="D48" s="360" t="s">
        <v>31</v>
      </c>
      <c r="E48" s="181" t="s">
        <v>219</v>
      </c>
      <c r="F48" s="253" t="s">
        <v>278</v>
      </c>
      <c r="G48" s="364">
        <f t="shared" si="1"/>
        <v>0.15</v>
      </c>
    </row>
    <row r="49" spans="1:7">
      <c r="A49" s="252" t="s">
        <v>266</v>
      </c>
      <c r="B49" s="252" t="s">
        <v>481</v>
      </c>
      <c r="C49" s="252" t="s">
        <v>481</v>
      </c>
      <c r="D49" s="360" t="s">
        <v>31</v>
      </c>
      <c r="E49" s="181" t="s">
        <v>223</v>
      </c>
      <c r="F49" s="253" t="s">
        <v>292</v>
      </c>
      <c r="G49" s="364">
        <f t="shared" si="1"/>
        <v>0.15</v>
      </c>
    </row>
    <row r="50" spans="1:7">
      <c r="A50" s="252" t="s">
        <v>266</v>
      </c>
      <c r="B50" s="252" t="s">
        <v>481</v>
      </c>
      <c r="C50" s="252" t="s">
        <v>481</v>
      </c>
      <c r="D50" s="360" t="s">
        <v>31</v>
      </c>
      <c r="E50" s="181" t="s">
        <v>222</v>
      </c>
      <c r="F50" s="253" t="s">
        <v>279</v>
      </c>
      <c r="G50" s="364">
        <f t="shared" ref="G50:G52" si="2">INDEX(Таб_ПМ_Наценка,MATCH(D50,Таб_ПМ,0),2)</f>
        <v>0.15</v>
      </c>
    </row>
    <row r="51" spans="1:7">
      <c r="A51" s="252" t="s">
        <v>266</v>
      </c>
      <c r="B51" s="252" t="s">
        <v>481</v>
      </c>
      <c r="C51" s="252" t="s">
        <v>481</v>
      </c>
      <c r="D51" s="360" t="s">
        <v>31</v>
      </c>
      <c r="E51" s="181" t="s">
        <v>556</v>
      </c>
      <c r="F51" s="253" t="s">
        <v>558</v>
      </c>
      <c r="G51" s="364">
        <f t="shared" si="2"/>
        <v>0.15</v>
      </c>
    </row>
    <row r="52" spans="1:7">
      <c r="A52" s="252" t="s">
        <v>266</v>
      </c>
      <c r="B52" s="252" t="s">
        <v>481</v>
      </c>
      <c r="C52" s="252" t="s">
        <v>481</v>
      </c>
      <c r="D52" s="360" t="s">
        <v>31</v>
      </c>
      <c r="E52" s="181" t="s">
        <v>554</v>
      </c>
      <c r="F52" s="253" t="s">
        <v>559</v>
      </c>
      <c r="G52" s="364">
        <f t="shared" si="2"/>
        <v>0.15</v>
      </c>
    </row>
    <row r="53" spans="1:7">
      <c r="A53" s="252" t="s">
        <v>266</v>
      </c>
      <c r="B53" s="252" t="s">
        <v>481</v>
      </c>
      <c r="C53" s="252" t="s">
        <v>481</v>
      </c>
      <c r="D53" s="360" t="s">
        <v>30</v>
      </c>
      <c r="E53" s="181" t="s">
        <v>158</v>
      </c>
      <c r="F53" s="253" t="s">
        <v>316</v>
      </c>
      <c r="G53" s="364">
        <f t="shared" si="1"/>
        <v>0.15</v>
      </c>
    </row>
    <row r="54" spans="1:7">
      <c r="A54" s="252" t="s">
        <v>266</v>
      </c>
      <c r="B54" s="252" t="s">
        <v>481</v>
      </c>
      <c r="C54" s="252" t="s">
        <v>481</v>
      </c>
      <c r="D54" s="360" t="s">
        <v>30</v>
      </c>
      <c r="E54" s="181" t="s">
        <v>157</v>
      </c>
      <c r="F54" s="253" t="s">
        <v>311</v>
      </c>
      <c r="G54" s="364">
        <f t="shared" si="1"/>
        <v>0.15</v>
      </c>
    </row>
    <row r="55" spans="1:7">
      <c r="A55" s="252" t="s">
        <v>266</v>
      </c>
      <c r="B55" s="252" t="s">
        <v>481</v>
      </c>
      <c r="C55" s="252" t="s">
        <v>481</v>
      </c>
      <c r="D55" s="360" t="s">
        <v>30</v>
      </c>
      <c r="E55" s="181" t="s">
        <v>152</v>
      </c>
      <c r="F55" s="253" t="s">
        <v>314</v>
      </c>
      <c r="G55" s="364">
        <f t="shared" si="1"/>
        <v>0.15</v>
      </c>
    </row>
    <row r="56" spans="1:7">
      <c r="A56" s="252" t="s">
        <v>266</v>
      </c>
      <c r="B56" s="252" t="s">
        <v>481</v>
      </c>
      <c r="C56" s="252" t="s">
        <v>481</v>
      </c>
      <c r="D56" s="360" t="s">
        <v>30</v>
      </c>
      <c r="E56" s="181" t="s">
        <v>151</v>
      </c>
      <c r="F56" s="253" t="s">
        <v>309</v>
      </c>
      <c r="G56" s="364">
        <f t="shared" si="1"/>
        <v>0.15</v>
      </c>
    </row>
    <row r="57" spans="1:7">
      <c r="A57" s="252" t="s">
        <v>266</v>
      </c>
      <c r="B57" s="252" t="s">
        <v>481</v>
      </c>
      <c r="C57" s="252" t="s">
        <v>481</v>
      </c>
      <c r="D57" s="360" t="s">
        <v>30</v>
      </c>
      <c r="E57" s="181" t="s">
        <v>26</v>
      </c>
      <c r="F57" s="253" t="s">
        <v>317</v>
      </c>
      <c r="G57" s="364">
        <f t="shared" si="1"/>
        <v>0.15</v>
      </c>
    </row>
    <row r="58" spans="1:7">
      <c r="A58" s="252" t="s">
        <v>266</v>
      </c>
      <c r="B58" s="252" t="s">
        <v>481</v>
      </c>
      <c r="C58" s="252" t="s">
        <v>481</v>
      </c>
      <c r="D58" s="360" t="s">
        <v>30</v>
      </c>
      <c r="E58" s="181" t="s">
        <v>25</v>
      </c>
      <c r="F58" s="253" t="s">
        <v>312</v>
      </c>
      <c r="G58" s="364">
        <f t="shared" si="1"/>
        <v>0.15</v>
      </c>
    </row>
    <row r="59" spans="1:7">
      <c r="A59" s="252" t="s">
        <v>266</v>
      </c>
      <c r="B59" s="252" t="s">
        <v>481</v>
      </c>
      <c r="C59" s="252" t="s">
        <v>481</v>
      </c>
      <c r="D59" s="360" t="s">
        <v>30</v>
      </c>
      <c r="E59" s="181" t="s">
        <v>149</v>
      </c>
      <c r="F59" s="253" t="s">
        <v>313</v>
      </c>
      <c r="G59" s="364">
        <f t="shared" si="1"/>
        <v>0.15</v>
      </c>
    </row>
    <row r="60" spans="1:7">
      <c r="A60" s="252" t="s">
        <v>266</v>
      </c>
      <c r="B60" s="252" t="s">
        <v>481</v>
      </c>
      <c r="C60" s="252" t="s">
        <v>481</v>
      </c>
      <c r="D60" s="360" t="s">
        <v>30</v>
      </c>
      <c r="E60" s="181" t="s">
        <v>148</v>
      </c>
      <c r="F60" s="253" t="s">
        <v>308</v>
      </c>
      <c r="G60" s="364">
        <f t="shared" si="1"/>
        <v>0.15</v>
      </c>
    </row>
    <row r="61" spans="1:7">
      <c r="A61" s="252" t="s">
        <v>266</v>
      </c>
      <c r="B61" s="252" t="s">
        <v>481</v>
      </c>
      <c r="C61" s="252" t="s">
        <v>481</v>
      </c>
      <c r="D61" s="360" t="s">
        <v>30</v>
      </c>
      <c r="E61" s="181" t="s">
        <v>155</v>
      </c>
      <c r="F61" s="253" t="s">
        <v>315</v>
      </c>
      <c r="G61" s="364">
        <f t="shared" si="1"/>
        <v>0.15</v>
      </c>
    </row>
    <row r="62" spans="1:7">
      <c r="A62" s="252" t="s">
        <v>266</v>
      </c>
      <c r="B62" s="252" t="s">
        <v>481</v>
      </c>
      <c r="C62" s="252" t="s">
        <v>481</v>
      </c>
      <c r="D62" s="360" t="s">
        <v>30</v>
      </c>
      <c r="E62" s="181" t="s">
        <v>154</v>
      </c>
      <c r="F62" s="253" t="s">
        <v>310</v>
      </c>
      <c r="G62" s="364">
        <f t="shared" si="1"/>
        <v>0.15</v>
      </c>
    </row>
    <row r="63" spans="1:7">
      <c r="A63" s="252" t="s">
        <v>266</v>
      </c>
      <c r="B63" s="252" t="s">
        <v>481</v>
      </c>
      <c r="C63" s="252" t="s">
        <v>481</v>
      </c>
      <c r="D63" s="360" t="s">
        <v>36</v>
      </c>
      <c r="E63" s="181" t="s">
        <v>164</v>
      </c>
      <c r="F63" s="253" t="s">
        <v>324</v>
      </c>
      <c r="G63" s="364">
        <f t="shared" si="1"/>
        <v>0.25</v>
      </c>
    </row>
    <row r="64" spans="1:7">
      <c r="A64" s="252" t="s">
        <v>266</v>
      </c>
      <c r="B64" s="252" t="s">
        <v>481</v>
      </c>
      <c r="C64" s="252" t="s">
        <v>481</v>
      </c>
      <c r="D64" s="360" t="s">
        <v>36</v>
      </c>
      <c r="E64" s="181" t="s">
        <v>163</v>
      </c>
      <c r="F64" s="253" t="s">
        <v>318</v>
      </c>
      <c r="G64" s="364">
        <f t="shared" si="1"/>
        <v>0.25</v>
      </c>
    </row>
    <row r="65" spans="1:7">
      <c r="A65" s="252" t="s">
        <v>266</v>
      </c>
      <c r="B65" s="252" t="s">
        <v>481</v>
      </c>
      <c r="C65" s="252" t="s">
        <v>481</v>
      </c>
      <c r="D65" s="360" t="s">
        <v>36</v>
      </c>
      <c r="E65" s="181" t="s">
        <v>167</v>
      </c>
      <c r="F65" s="253" t="s">
        <v>325</v>
      </c>
      <c r="G65" s="364">
        <f t="shared" si="1"/>
        <v>0.25</v>
      </c>
    </row>
    <row r="66" spans="1:7">
      <c r="A66" s="252" t="s">
        <v>266</v>
      </c>
      <c r="B66" s="252" t="s">
        <v>481</v>
      </c>
      <c r="C66" s="252" t="s">
        <v>481</v>
      </c>
      <c r="D66" s="360" t="s">
        <v>36</v>
      </c>
      <c r="E66" s="181" t="s">
        <v>166</v>
      </c>
      <c r="F66" s="253" t="s">
        <v>319</v>
      </c>
      <c r="G66" s="364">
        <f t="shared" si="1"/>
        <v>0.25</v>
      </c>
    </row>
    <row r="67" spans="1:7">
      <c r="A67" s="252" t="s">
        <v>266</v>
      </c>
      <c r="B67" s="252" t="s">
        <v>481</v>
      </c>
      <c r="C67" s="252" t="s">
        <v>481</v>
      </c>
      <c r="D67" s="360" t="s">
        <v>36</v>
      </c>
      <c r="E67" s="181" t="s">
        <v>170</v>
      </c>
      <c r="F67" s="253" t="s">
        <v>326</v>
      </c>
      <c r="G67" s="364">
        <f t="shared" si="1"/>
        <v>0.25</v>
      </c>
    </row>
    <row r="68" spans="1:7">
      <c r="A68" s="252" t="s">
        <v>266</v>
      </c>
      <c r="B68" s="252" t="s">
        <v>481</v>
      </c>
      <c r="C68" s="252" t="s">
        <v>481</v>
      </c>
      <c r="D68" s="360" t="s">
        <v>36</v>
      </c>
      <c r="E68" s="181" t="s">
        <v>169</v>
      </c>
      <c r="F68" s="253" t="s">
        <v>320</v>
      </c>
      <c r="G68" s="364">
        <f t="shared" si="1"/>
        <v>0.25</v>
      </c>
    </row>
    <row r="69" spans="1:7">
      <c r="A69" s="252" t="s">
        <v>266</v>
      </c>
      <c r="B69" s="252" t="s">
        <v>481</v>
      </c>
      <c r="C69" s="252" t="s">
        <v>481</v>
      </c>
      <c r="D69" s="360" t="s">
        <v>36</v>
      </c>
      <c r="E69" s="181" t="s">
        <v>173</v>
      </c>
      <c r="F69" s="253" t="s">
        <v>327</v>
      </c>
      <c r="G69" s="364">
        <f t="shared" si="1"/>
        <v>0.25</v>
      </c>
    </row>
    <row r="70" spans="1:7">
      <c r="A70" s="252" t="s">
        <v>266</v>
      </c>
      <c r="B70" s="252" t="s">
        <v>481</v>
      </c>
      <c r="C70" s="252" t="s">
        <v>481</v>
      </c>
      <c r="D70" s="360" t="s">
        <v>36</v>
      </c>
      <c r="E70" s="181" t="s">
        <v>172</v>
      </c>
      <c r="F70" s="253" t="s">
        <v>321</v>
      </c>
      <c r="G70" s="364">
        <f t="shared" ref="G70:G78" si="3">INDEX(Таб_ПМ_Наценка,MATCH(D70,Таб_ПМ,0),2)</f>
        <v>0.25</v>
      </c>
    </row>
    <row r="71" spans="1:7">
      <c r="A71" s="252" t="s">
        <v>266</v>
      </c>
      <c r="B71" s="252" t="s">
        <v>481</v>
      </c>
      <c r="C71" s="252" t="s">
        <v>481</v>
      </c>
      <c r="D71" s="360" t="s">
        <v>36</v>
      </c>
      <c r="E71" s="181" t="s">
        <v>38</v>
      </c>
      <c r="F71" s="253" t="s">
        <v>328</v>
      </c>
      <c r="G71" s="364">
        <f t="shared" si="3"/>
        <v>0.25</v>
      </c>
    </row>
    <row r="72" spans="1:7">
      <c r="A72" s="252" t="s">
        <v>266</v>
      </c>
      <c r="B72" s="252" t="s">
        <v>481</v>
      </c>
      <c r="C72" s="252" t="s">
        <v>481</v>
      </c>
      <c r="D72" s="360" t="s">
        <v>36</v>
      </c>
      <c r="E72" s="181" t="s">
        <v>37</v>
      </c>
      <c r="F72" s="253" t="s">
        <v>322</v>
      </c>
      <c r="G72" s="364">
        <f t="shared" si="3"/>
        <v>0.25</v>
      </c>
    </row>
    <row r="73" spans="1:7">
      <c r="A73" s="252" t="s">
        <v>266</v>
      </c>
      <c r="B73" s="252" t="s">
        <v>481</v>
      </c>
      <c r="C73" s="252" t="s">
        <v>481</v>
      </c>
      <c r="D73" s="360" t="s">
        <v>36</v>
      </c>
      <c r="E73" s="181" t="s">
        <v>177</v>
      </c>
      <c r="F73" s="253" t="s">
        <v>329</v>
      </c>
      <c r="G73" s="364">
        <f t="shared" si="3"/>
        <v>0.25</v>
      </c>
    </row>
    <row r="74" spans="1:7">
      <c r="A74" s="252" t="s">
        <v>266</v>
      </c>
      <c r="B74" s="252" t="s">
        <v>481</v>
      </c>
      <c r="C74" s="252" t="s">
        <v>481</v>
      </c>
      <c r="D74" s="360" t="s">
        <v>36</v>
      </c>
      <c r="E74" s="181" t="s">
        <v>176</v>
      </c>
      <c r="F74" s="253" t="s">
        <v>323</v>
      </c>
      <c r="G74" s="364">
        <f t="shared" si="3"/>
        <v>0.25</v>
      </c>
    </row>
    <row r="75" spans="1:7">
      <c r="A75" s="252" t="s">
        <v>266</v>
      </c>
      <c r="B75" s="252" t="s">
        <v>481</v>
      </c>
      <c r="C75" s="252" t="s">
        <v>481</v>
      </c>
      <c r="D75" s="360" t="s">
        <v>40</v>
      </c>
      <c r="E75" s="181" t="s">
        <v>41</v>
      </c>
      <c r="F75" s="253" t="s">
        <v>336</v>
      </c>
      <c r="G75" s="364">
        <f t="shared" si="3"/>
        <v>0.15</v>
      </c>
    </row>
    <row r="76" spans="1:7">
      <c r="A76" s="252" t="s">
        <v>266</v>
      </c>
      <c r="B76" s="252" t="s">
        <v>481</v>
      </c>
      <c r="C76" s="252" t="s">
        <v>481</v>
      </c>
      <c r="D76" s="360" t="s">
        <v>40</v>
      </c>
      <c r="E76" s="181" t="s">
        <v>145</v>
      </c>
      <c r="F76" s="253" t="s">
        <v>337</v>
      </c>
      <c r="G76" s="364">
        <f t="shared" si="3"/>
        <v>0.15</v>
      </c>
    </row>
    <row r="77" spans="1:7">
      <c r="A77" s="252" t="s">
        <v>266</v>
      </c>
      <c r="B77" s="252" t="s">
        <v>481</v>
      </c>
      <c r="C77" s="252" t="s">
        <v>481</v>
      </c>
      <c r="D77" s="360" t="s">
        <v>40</v>
      </c>
      <c r="E77" s="181" t="s">
        <v>146</v>
      </c>
      <c r="F77" s="253" t="s">
        <v>338</v>
      </c>
      <c r="G77" s="364">
        <f t="shared" si="3"/>
        <v>0.15</v>
      </c>
    </row>
    <row r="78" spans="1:7">
      <c r="A78" s="252" t="s">
        <v>266</v>
      </c>
      <c r="B78" s="252" t="s">
        <v>481</v>
      </c>
      <c r="C78" s="252" t="s">
        <v>481</v>
      </c>
      <c r="D78" s="360" t="s">
        <v>40</v>
      </c>
      <c r="E78" s="181" t="s">
        <v>147</v>
      </c>
      <c r="F78" s="253" t="s">
        <v>339</v>
      </c>
      <c r="G78" s="364">
        <f t="shared" si="3"/>
        <v>0.15</v>
      </c>
    </row>
    <row r="79" spans="1:7">
      <c r="A79" s="252" t="s">
        <v>266</v>
      </c>
      <c r="B79" s="252" t="s">
        <v>480</v>
      </c>
      <c r="C79" s="360" t="s">
        <v>483</v>
      </c>
      <c r="D79" s="360" t="s">
        <v>341</v>
      </c>
      <c r="E79" s="181" t="s">
        <v>45</v>
      </c>
      <c r="F79" s="253" t="s">
        <v>264</v>
      </c>
      <c r="G79" s="364">
        <f t="shared" ref="G79:G127" si="4">INDEX(Таб_Аксессуары_Наценка,MATCH(C79,Таб_Аксессуары,0),2)</f>
        <v>0.15</v>
      </c>
    </row>
    <row r="80" spans="1:7">
      <c r="A80" s="252" t="s">
        <v>266</v>
      </c>
      <c r="B80" s="252" t="s">
        <v>480</v>
      </c>
      <c r="C80" s="360" t="s">
        <v>484</v>
      </c>
      <c r="D80" s="360" t="s">
        <v>478</v>
      </c>
      <c r="E80" s="181" t="s">
        <v>42</v>
      </c>
      <c r="F80" s="253" t="s">
        <v>386</v>
      </c>
      <c r="G80" s="364">
        <f t="shared" si="4"/>
        <v>0.15</v>
      </c>
    </row>
    <row r="81" spans="1:7">
      <c r="A81" s="252" t="s">
        <v>266</v>
      </c>
      <c r="B81" s="252" t="s">
        <v>480</v>
      </c>
      <c r="C81" s="360" t="s">
        <v>485</v>
      </c>
      <c r="D81" s="360" t="s">
        <v>477</v>
      </c>
      <c r="E81" s="181" t="s">
        <v>203</v>
      </c>
      <c r="F81" s="253" t="s">
        <v>205</v>
      </c>
      <c r="G81" s="364">
        <f t="shared" si="4"/>
        <v>0.15</v>
      </c>
    </row>
    <row r="82" spans="1:7">
      <c r="A82" s="252" t="s">
        <v>266</v>
      </c>
      <c r="B82" s="252" t="s">
        <v>480</v>
      </c>
      <c r="C82" s="360" t="s">
        <v>484</v>
      </c>
      <c r="D82" s="360" t="s">
        <v>475</v>
      </c>
      <c r="E82" s="181" t="s">
        <v>4</v>
      </c>
      <c r="F82" s="253" t="s">
        <v>5</v>
      </c>
      <c r="G82" s="364">
        <f t="shared" si="4"/>
        <v>0.15</v>
      </c>
    </row>
    <row r="83" spans="1:7">
      <c r="A83" s="252" t="s">
        <v>266</v>
      </c>
      <c r="B83" s="252" t="s">
        <v>480</v>
      </c>
      <c r="C83" s="360" t="s">
        <v>492</v>
      </c>
      <c r="D83" s="360" t="s">
        <v>33</v>
      </c>
      <c r="E83" s="181" t="s">
        <v>7</v>
      </c>
      <c r="F83" s="253" t="s">
        <v>8</v>
      </c>
      <c r="G83" s="364">
        <f t="shared" si="4"/>
        <v>0.15</v>
      </c>
    </row>
    <row r="84" spans="1:7">
      <c r="A84" s="252" t="s">
        <v>266</v>
      </c>
      <c r="B84" s="252" t="s">
        <v>480</v>
      </c>
      <c r="C84" s="360" t="s">
        <v>492</v>
      </c>
      <c r="D84" s="360" t="s">
        <v>33</v>
      </c>
      <c r="E84" s="181" t="s">
        <v>359</v>
      </c>
      <c r="F84" s="253" t="s">
        <v>360</v>
      </c>
      <c r="G84" s="364">
        <f t="shared" si="4"/>
        <v>0.15</v>
      </c>
    </row>
    <row r="85" spans="1:7">
      <c r="A85" s="252" t="s">
        <v>266</v>
      </c>
      <c r="B85" s="252" t="s">
        <v>480</v>
      </c>
      <c r="C85" s="360" t="s">
        <v>491</v>
      </c>
      <c r="D85" s="360" t="s">
        <v>33</v>
      </c>
      <c r="E85" s="181" t="s">
        <v>204</v>
      </c>
      <c r="F85" s="253" t="s">
        <v>202</v>
      </c>
      <c r="G85" s="364">
        <f t="shared" si="4"/>
        <v>0.15</v>
      </c>
    </row>
    <row r="86" spans="1:7">
      <c r="A86" s="252" t="s">
        <v>266</v>
      </c>
      <c r="B86" s="252" t="s">
        <v>480</v>
      </c>
      <c r="C86" s="360" t="s">
        <v>492</v>
      </c>
      <c r="D86" s="360" t="s">
        <v>32</v>
      </c>
      <c r="E86" s="181" t="s">
        <v>11</v>
      </c>
      <c r="F86" s="253" t="s">
        <v>12</v>
      </c>
      <c r="G86" s="364">
        <f t="shared" si="4"/>
        <v>0.15</v>
      </c>
    </row>
    <row r="87" spans="1:7">
      <c r="A87" s="252" t="s">
        <v>266</v>
      </c>
      <c r="B87" s="252" t="s">
        <v>480</v>
      </c>
      <c r="C87" s="360" t="s">
        <v>492</v>
      </c>
      <c r="D87" s="360" t="s">
        <v>32</v>
      </c>
      <c r="E87" s="181" t="s">
        <v>357</v>
      </c>
      <c r="F87" s="253" t="s">
        <v>358</v>
      </c>
      <c r="G87" s="364">
        <f t="shared" si="4"/>
        <v>0.15</v>
      </c>
    </row>
    <row r="88" spans="1:7">
      <c r="A88" s="252" t="s">
        <v>266</v>
      </c>
      <c r="B88" s="252" t="s">
        <v>480</v>
      </c>
      <c r="C88" s="360" t="s">
        <v>485</v>
      </c>
      <c r="D88" s="360" t="s">
        <v>48</v>
      </c>
      <c r="E88" s="181" t="s">
        <v>194</v>
      </c>
      <c r="F88" s="253" t="s">
        <v>195</v>
      </c>
      <c r="G88" s="364">
        <f t="shared" si="4"/>
        <v>0.15</v>
      </c>
    </row>
    <row r="89" spans="1:7">
      <c r="A89" s="252" t="s">
        <v>266</v>
      </c>
      <c r="B89" s="252" t="s">
        <v>480</v>
      </c>
      <c r="C89" s="360" t="s">
        <v>492</v>
      </c>
      <c r="D89" s="360" t="s">
        <v>48</v>
      </c>
      <c r="E89" s="181" t="s">
        <v>214</v>
      </c>
      <c r="F89" s="253" t="s">
        <v>216</v>
      </c>
      <c r="G89" s="364">
        <f t="shared" si="4"/>
        <v>0.15</v>
      </c>
    </row>
    <row r="90" spans="1:7">
      <c r="A90" s="252" t="s">
        <v>266</v>
      </c>
      <c r="B90" s="252" t="s">
        <v>480</v>
      </c>
      <c r="C90" s="360" t="s">
        <v>492</v>
      </c>
      <c r="D90" s="360" t="s">
        <v>48</v>
      </c>
      <c r="E90" s="181" t="s">
        <v>213</v>
      </c>
      <c r="F90" s="253" t="s">
        <v>215</v>
      </c>
      <c r="G90" s="364">
        <f t="shared" si="4"/>
        <v>0.15</v>
      </c>
    </row>
    <row r="91" spans="1:7">
      <c r="A91" s="252" t="s">
        <v>266</v>
      </c>
      <c r="B91" s="252" t="s">
        <v>480</v>
      </c>
      <c r="C91" s="360" t="s">
        <v>492</v>
      </c>
      <c r="D91" s="360" t="s">
        <v>48</v>
      </c>
      <c r="E91" s="181" t="s">
        <v>243</v>
      </c>
      <c r="F91" s="253" t="s">
        <v>245</v>
      </c>
      <c r="G91" s="364">
        <f t="shared" si="4"/>
        <v>0.15</v>
      </c>
    </row>
    <row r="92" spans="1:7">
      <c r="A92" s="252" t="s">
        <v>266</v>
      </c>
      <c r="B92" s="252" t="s">
        <v>480</v>
      </c>
      <c r="C92" s="360" t="s">
        <v>492</v>
      </c>
      <c r="D92" s="360" t="s">
        <v>48</v>
      </c>
      <c r="E92" s="181" t="s">
        <v>242</v>
      </c>
      <c r="F92" s="253" t="s">
        <v>244</v>
      </c>
      <c r="G92" s="364">
        <f t="shared" si="4"/>
        <v>0.15</v>
      </c>
    </row>
    <row r="93" spans="1:7">
      <c r="A93" s="252" t="s">
        <v>266</v>
      </c>
      <c r="B93" s="252" t="s">
        <v>480</v>
      </c>
      <c r="C93" s="360" t="s">
        <v>483</v>
      </c>
      <c r="D93" s="360" t="s">
        <v>48</v>
      </c>
      <c r="E93" s="181" t="s">
        <v>212</v>
      </c>
      <c r="F93" s="253" t="s">
        <v>211</v>
      </c>
      <c r="G93" s="364">
        <f t="shared" si="4"/>
        <v>0.15</v>
      </c>
    </row>
    <row r="94" spans="1:7">
      <c r="A94" s="252" t="s">
        <v>266</v>
      </c>
      <c r="B94" s="252" t="s">
        <v>480</v>
      </c>
      <c r="C94" s="360" t="s">
        <v>483</v>
      </c>
      <c r="D94" s="360" t="s">
        <v>48</v>
      </c>
      <c r="E94" s="181" t="s">
        <v>246</v>
      </c>
      <c r="F94" s="253" t="s">
        <v>249</v>
      </c>
      <c r="G94" s="364">
        <f t="shared" si="4"/>
        <v>0.15</v>
      </c>
    </row>
    <row r="95" spans="1:7">
      <c r="A95" s="252" t="s">
        <v>266</v>
      </c>
      <c r="B95" s="252" t="s">
        <v>480</v>
      </c>
      <c r="C95" s="360" t="s">
        <v>483</v>
      </c>
      <c r="D95" s="360" t="s">
        <v>48</v>
      </c>
      <c r="E95" s="181" t="s">
        <v>210</v>
      </c>
      <c r="F95" s="253" t="s">
        <v>209</v>
      </c>
      <c r="G95" s="364">
        <f t="shared" si="4"/>
        <v>0.15</v>
      </c>
    </row>
    <row r="96" spans="1:7">
      <c r="A96" s="252" t="s">
        <v>266</v>
      </c>
      <c r="B96" s="252" t="s">
        <v>480</v>
      </c>
      <c r="C96" s="360" t="s">
        <v>483</v>
      </c>
      <c r="D96" s="360" t="s">
        <v>48</v>
      </c>
      <c r="E96" s="181" t="s">
        <v>248</v>
      </c>
      <c r="F96" s="253" t="s">
        <v>247</v>
      </c>
      <c r="G96" s="364">
        <f t="shared" si="4"/>
        <v>0.15</v>
      </c>
    </row>
    <row r="97" spans="1:7">
      <c r="A97" s="252" t="s">
        <v>266</v>
      </c>
      <c r="B97" s="252" t="s">
        <v>480</v>
      </c>
      <c r="C97" s="253" t="s">
        <v>489</v>
      </c>
      <c r="D97" s="360" t="s">
        <v>48</v>
      </c>
      <c r="E97" s="181" t="s">
        <v>35</v>
      </c>
      <c r="F97" s="253" t="s">
        <v>208</v>
      </c>
      <c r="G97" s="364">
        <f t="shared" si="4"/>
        <v>0.15</v>
      </c>
    </row>
    <row r="98" spans="1:7">
      <c r="A98" s="252" t="s">
        <v>266</v>
      </c>
      <c r="B98" s="252" t="s">
        <v>480</v>
      </c>
      <c r="C98" s="360" t="s">
        <v>492</v>
      </c>
      <c r="D98" s="360" t="s">
        <v>31</v>
      </c>
      <c r="E98" s="181" t="s">
        <v>17</v>
      </c>
      <c r="F98" s="253" t="s">
        <v>18</v>
      </c>
      <c r="G98" s="364">
        <f t="shared" si="4"/>
        <v>0.15</v>
      </c>
    </row>
    <row r="99" spans="1:7">
      <c r="A99" s="252" t="s">
        <v>266</v>
      </c>
      <c r="B99" s="252" t="s">
        <v>480</v>
      </c>
      <c r="C99" s="360" t="s">
        <v>492</v>
      </c>
      <c r="D99" s="360" t="s">
        <v>31</v>
      </c>
      <c r="E99" s="181" t="s">
        <v>361</v>
      </c>
      <c r="F99" s="253" t="s">
        <v>362</v>
      </c>
      <c r="G99" s="364">
        <f t="shared" si="4"/>
        <v>0.15</v>
      </c>
    </row>
    <row r="100" spans="1:7">
      <c r="A100" s="252" t="s">
        <v>266</v>
      </c>
      <c r="B100" s="252" t="s">
        <v>480</v>
      </c>
      <c r="C100" s="360" t="s">
        <v>484</v>
      </c>
      <c r="D100" s="360" t="s">
        <v>31</v>
      </c>
      <c r="E100" s="181" t="s">
        <v>19</v>
      </c>
      <c r="F100" s="253" t="s">
        <v>20</v>
      </c>
      <c r="G100" s="364">
        <f t="shared" si="4"/>
        <v>0.15</v>
      </c>
    </row>
    <row r="101" spans="1:7">
      <c r="A101" s="252" t="s">
        <v>266</v>
      </c>
      <c r="B101" s="252" t="s">
        <v>480</v>
      </c>
      <c r="C101" s="360" t="s">
        <v>491</v>
      </c>
      <c r="D101" s="360" t="s">
        <v>31</v>
      </c>
      <c r="E101" s="181" t="s">
        <v>192</v>
      </c>
      <c r="F101" s="253" t="s">
        <v>193</v>
      </c>
      <c r="G101" s="364">
        <f t="shared" si="4"/>
        <v>0.15</v>
      </c>
    </row>
    <row r="102" spans="1:7">
      <c r="A102" s="252" t="s">
        <v>266</v>
      </c>
      <c r="B102" s="252" t="s">
        <v>480</v>
      </c>
      <c r="C102" s="360" t="s">
        <v>490</v>
      </c>
      <c r="D102" s="360" t="s">
        <v>31</v>
      </c>
      <c r="E102" s="181" t="s">
        <v>21</v>
      </c>
      <c r="F102" s="253" t="s">
        <v>22</v>
      </c>
      <c r="G102" s="364">
        <f t="shared" si="4"/>
        <v>0.15</v>
      </c>
    </row>
    <row r="103" spans="1:7">
      <c r="A103" s="252" t="s">
        <v>266</v>
      </c>
      <c r="B103" s="252" t="s">
        <v>480</v>
      </c>
      <c r="C103" s="360" t="s">
        <v>492</v>
      </c>
      <c r="D103" s="360" t="s">
        <v>30</v>
      </c>
      <c r="E103" s="181" t="s">
        <v>206</v>
      </c>
      <c r="F103" s="253" t="s">
        <v>207</v>
      </c>
      <c r="G103" s="364">
        <f t="shared" si="4"/>
        <v>0.15</v>
      </c>
    </row>
    <row r="104" spans="1:7">
      <c r="A104" s="252" t="s">
        <v>266</v>
      </c>
      <c r="B104" s="252" t="s">
        <v>480</v>
      </c>
      <c r="C104" s="360" t="s">
        <v>492</v>
      </c>
      <c r="D104" s="360" t="s">
        <v>30</v>
      </c>
      <c r="E104" s="181" t="s">
        <v>355</v>
      </c>
      <c r="F104" s="253" t="s">
        <v>356</v>
      </c>
      <c r="G104" s="364">
        <f t="shared" si="4"/>
        <v>0.15</v>
      </c>
    </row>
    <row r="105" spans="1:7">
      <c r="A105" s="252" t="s">
        <v>266</v>
      </c>
      <c r="B105" s="252" t="s">
        <v>480</v>
      </c>
      <c r="C105" s="360" t="s">
        <v>486</v>
      </c>
      <c r="D105" s="360" t="s">
        <v>476</v>
      </c>
      <c r="E105" s="181" t="s">
        <v>28</v>
      </c>
      <c r="F105" s="253" t="s">
        <v>265</v>
      </c>
      <c r="G105" s="364">
        <f t="shared" si="4"/>
        <v>0.15</v>
      </c>
    </row>
    <row r="106" spans="1:7">
      <c r="A106" s="252" t="s">
        <v>266</v>
      </c>
      <c r="B106" s="252" t="s">
        <v>480</v>
      </c>
      <c r="C106" s="360" t="s">
        <v>487</v>
      </c>
      <c r="D106" s="360" t="s">
        <v>476</v>
      </c>
      <c r="E106" s="181" t="s">
        <v>27</v>
      </c>
      <c r="F106" s="253" t="s">
        <v>234</v>
      </c>
      <c r="G106" s="364">
        <f t="shared" si="4"/>
        <v>0.15</v>
      </c>
    </row>
    <row r="107" spans="1:7">
      <c r="A107" s="252" t="s">
        <v>266</v>
      </c>
      <c r="B107" s="252" t="s">
        <v>480</v>
      </c>
      <c r="C107" s="360" t="s">
        <v>487</v>
      </c>
      <c r="D107" s="360" t="s">
        <v>476</v>
      </c>
      <c r="E107" s="181" t="s">
        <v>233</v>
      </c>
      <c r="F107" s="253" t="s">
        <v>235</v>
      </c>
      <c r="G107" s="364">
        <f t="shared" si="4"/>
        <v>0.15</v>
      </c>
    </row>
    <row r="108" spans="1:7">
      <c r="A108" s="252" t="s">
        <v>266</v>
      </c>
      <c r="B108" s="252" t="s">
        <v>480</v>
      </c>
      <c r="C108" s="360" t="s">
        <v>492</v>
      </c>
      <c r="D108" s="360" t="s">
        <v>36</v>
      </c>
      <c r="E108" s="181" t="s">
        <v>236</v>
      </c>
      <c r="F108" s="253" t="s">
        <v>238</v>
      </c>
      <c r="G108" s="364">
        <f t="shared" si="4"/>
        <v>0.15</v>
      </c>
    </row>
    <row r="109" spans="1:7">
      <c r="A109" s="252" t="s">
        <v>266</v>
      </c>
      <c r="B109" s="252" t="s">
        <v>480</v>
      </c>
      <c r="C109" s="360" t="s">
        <v>492</v>
      </c>
      <c r="D109" s="360" t="s">
        <v>36</v>
      </c>
      <c r="E109" s="181" t="s">
        <v>39</v>
      </c>
      <c r="F109" s="253" t="s">
        <v>237</v>
      </c>
      <c r="G109" s="364">
        <f t="shared" si="4"/>
        <v>0.15</v>
      </c>
    </row>
    <row r="110" spans="1:7">
      <c r="A110" s="252" t="s">
        <v>266</v>
      </c>
      <c r="B110" s="252" t="s">
        <v>480</v>
      </c>
      <c r="C110" s="360" t="s">
        <v>483</v>
      </c>
      <c r="D110" s="360" t="s">
        <v>474</v>
      </c>
      <c r="E110" s="181" t="s">
        <v>217</v>
      </c>
      <c r="F110" s="253" t="s">
        <v>482</v>
      </c>
      <c r="G110" s="364">
        <f t="shared" si="4"/>
        <v>0.15</v>
      </c>
    </row>
    <row r="111" spans="1:7">
      <c r="A111" s="252" t="s">
        <v>266</v>
      </c>
      <c r="B111" s="252" t="s">
        <v>480</v>
      </c>
      <c r="C111" s="360" t="s">
        <v>483</v>
      </c>
      <c r="D111" s="360" t="s">
        <v>474</v>
      </c>
      <c r="E111" s="181" t="s">
        <v>43</v>
      </c>
      <c r="F111" s="253" t="s">
        <v>473</v>
      </c>
      <c r="G111" s="364">
        <f t="shared" si="4"/>
        <v>0.15</v>
      </c>
    </row>
    <row r="112" spans="1:7">
      <c r="A112" s="252" t="s">
        <v>266</v>
      </c>
      <c r="B112" s="252" t="s">
        <v>480</v>
      </c>
      <c r="C112" s="360" t="s">
        <v>492</v>
      </c>
      <c r="D112" s="360" t="s">
        <v>32</v>
      </c>
      <c r="E112" s="181" t="s">
        <v>357</v>
      </c>
      <c r="F112" s="253" t="s">
        <v>358</v>
      </c>
      <c r="G112" s="364">
        <f t="shared" si="4"/>
        <v>0.15</v>
      </c>
    </row>
    <row r="113" spans="1:7">
      <c r="A113" s="252" t="s">
        <v>266</v>
      </c>
      <c r="B113" s="252" t="s">
        <v>480</v>
      </c>
      <c r="C113" s="360" t="s">
        <v>492</v>
      </c>
      <c r="D113" s="360" t="s">
        <v>33</v>
      </c>
      <c r="E113" s="181" t="s">
        <v>359</v>
      </c>
      <c r="F113" s="253" t="s">
        <v>360</v>
      </c>
      <c r="G113" s="364">
        <f t="shared" si="4"/>
        <v>0.15</v>
      </c>
    </row>
    <row r="114" spans="1:7">
      <c r="A114" s="252" t="s">
        <v>266</v>
      </c>
      <c r="B114" s="252" t="s">
        <v>480</v>
      </c>
      <c r="C114" s="360" t="s">
        <v>492</v>
      </c>
      <c r="D114" s="360" t="s">
        <v>31</v>
      </c>
      <c r="E114" s="181" t="s">
        <v>361</v>
      </c>
      <c r="F114" s="253" t="s">
        <v>362</v>
      </c>
      <c r="G114" s="364">
        <f t="shared" si="4"/>
        <v>0.15</v>
      </c>
    </row>
    <row r="115" spans="1:7">
      <c r="A115" s="252" t="s">
        <v>266</v>
      </c>
      <c r="B115" s="252" t="s">
        <v>480</v>
      </c>
      <c r="C115" s="360" t="s">
        <v>495</v>
      </c>
      <c r="D115" s="360"/>
      <c r="E115" s="181" t="s">
        <v>349</v>
      </c>
      <c r="F115" s="253" t="s">
        <v>350</v>
      </c>
      <c r="G115" s="364">
        <f t="shared" si="4"/>
        <v>0.15</v>
      </c>
    </row>
    <row r="116" spans="1:7">
      <c r="A116" s="252" t="s">
        <v>266</v>
      </c>
      <c r="B116" s="252" t="s">
        <v>480</v>
      </c>
      <c r="C116" s="360" t="s">
        <v>495</v>
      </c>
      <c r="D116" s="360"/>
      <c r="E116" s="181" t="s">
        <v>352</v>
      </c>
      <c r="F116" s="253" t="s">
        <v>351</v>
      </c>
      <c r="G116" s="364">
        <f t="shared" si="4"/>
        <v>0.15</v>
      </c>
    </row>
    <row r="117" spans="1:7">
      <c r="A117" s="252" t="s">
        <v>266</v>
      </c>
      <c r="B117" s="252" t="s">
        <v>480</v>
      </c>
      <c r="C117" s="360" t="s">
        <v>530</v>
      </c>
      <c r="D117" s="360" t="s">
        <v>530</v>
      </c>
      <c r="E117" s="181" t="s">
        <v>519</v>
      </c>
      <c r="F117" s="253" t="s">
        <v>525</v>
      </c>
      <c r="G117" s="364">
        <f t="shared" si="4"/>
        <v>0.15</v>
      </c>
    </row>
    <row r="118" spans="1:7">
      <c r="A118" s="252" t="s">
        <v>266</v>
      </c>
      <c r="B118" s="252" t="s">
        <v>480</v>
      </c>
      <c r="C118" s="360" t="s">
        <v>530</v>
      </c>
      <c r="D118" s="360" t="s">
        <v>530</v>
      </c>
      <c r="E118" s="181" t="s">
        <v>520</v>
      </c>
      <c r="F118" s="253" t="s">
        <v>526</v>
      </c>
      <c r="G118" s="364">
        <f t="shared" si="4"/>
        <v>0.15</v>
      </c>
    </row>
    <row r="119" spans="1:7">
      <c r="A119" s="252" t="s">
        <v>266</v>
      </c>
      <c r="B119" s="252" t="s">
        <v>480</v>
      </c>
      <c r="C119" s="360" t="s">
        <v>530</v>
      </c>
      <c r="D119" s="360" t="s">
        <v>530</v>
      </c>
      <c r="E119" s="181" t="s">
        <v>521</v>
      </c>
      <c r="F119" s="253" t="s">
        <v>527</v>
      </c>
      <c r="G119" s="364">
        <f t="shared" si="4"/>
        <v>0.15</v>
      </c>
    </row>
    <row r="120" spans="1:7">
      <c r="A120" s="252" t="s">
        <v>266</v>
      </c>
      <c r="B120" s="252" t="s">
        <v>480</v>
      </c>
      <c r="C120" s="360" t="s">
        <v>530</v>
      </c>
      <c r="D120" s="360" t="s">
        <v>530</v>
      </c>
      <c r="E120" s="181" t="s">
        <v>522</v>
      </c>
      <c r="F120" s="253" t="s">
        <v>525</v>
      </c>
      <c r="G120" s="364">
        <f t="shared" si="4"/>
        <v>0.15</v>
      </c>
    </row>
    <row r="121" spans="1:7">
      <c r="A121" s="252" t="s">
        <v>266</v>
      </c>
      <c r="B121" s="252" t="s">
        <v>480</v>
      </c>
      <c r="C121" s="360" t="s">
        <v>530</v>
      </c>
      <c r="D121" s="360" t="s">
        <v>530</v>
      </c>
      <c r="E121" s="181" t="s">
        <v>523</v>
      </c>
      <c r="F121" s="253" t="s">
        <v>526</v>
      </c>
      <c r="G121" s="364">
        <f t="shared" si="4"/>
        <v>0.15</v>
      </c>
    </row>
    <row r="122" spans="1:7">
      <c r="A122" s="252" t="s">
        <v>266</v>
      </c>
      <c r="B122" s="252" t="s">
        <v>480</v>
      </c>
      <c r="C122" s="360" t="s">
        <v>530</v>
      </c>
      <c r="D122" s="360" t="s">
        <v>530</v>
      </c>
      <c r="E122" s="181" t="s">
        <v>524</v>
      </c>
      <c r="F122" s="253" t="s">
        <v>527</v>
      </c>
      <c r="G122" s="364">
        <f t="shared" si="4"/>
        <v>0.15</v>
      </c>
    </row>
    <row r="123" spans="1:7">
      <c r="A123" s="252" t="s">
        <v>266</v>
      </c>
      <c r="B123" s="252" t="s">
        <v>480</v>
      </c>
      <c r="C123" s="360" t="s">
        <v>530</v>
      </c>
      <c r="D123" s="360" t="s">
        <v>530</v>
      </c>
      <c r="E123" s="181" t="s">
        <v>528</v>
      </c>
      <c r="F123" s="253" t="s">
        <v>529</v>
      </c>
      <c r="G123" s="364">
        <f t="shared" si="4"/>
        <v>0.15</v>
      </c>
    </row>
    <row r="124" spans="1:7">
      <c r="A124" s="252" t="s">
        <v>266</v>
      </c>
      <c r="B124" s="252" t="s">
        <v>480</v>
      </c>
      <c r="C124" s="360" t="s">
        <v>530</v>
      </c>
      <c r="D124" s="360" t="s">
        <v>530</v>
      </c>
      <c r="E124" s="181" t="s">
        <v>539</v>
      </c>
      <c r="F124" s="253" t="s">
        <v>541</v>
      </c>
      <c r="G124" s="364">
        <f t="shared" si="4"/>
        <v>0.15</v>
      </c>
    </row>
    <row r="125" spans="1:7">
      <c r="A125" s="252" t="s">
        <v>266</v>
      </c>
      <c r="B125" s="252" t="s">
        <v>480</v>
      </c>
      <c r="C125" s="360" t="s">
        <v>530</v>
      </c>
      <c r="D125" s="360" t="s">
        <v>530</v>
      </c>
      <c r="E125" s="181" t="s">
        <v>540</v>
      </c>
      <c r="F125" s="253" t="s">
        <v>542</v>
      </c>
      <c r="G125" s="364">
        <f t="shared" si="4"/>
        <v>0.15</v>
      </c>
    </row>
    <row r="126" spans="1:7">
      <c r="A126" s="252" t="s">
        <v>266</v>
      </c>
      <c r="B126" s="252" t="s">
        <v>480</v>
      </c>
      <c r="C126" s="360" t="s">
        <v>530</v>
      </c>
      <c r="D126" s="360" t="s">
        <v>530</v>
      </c>
      <c r="E126" s="181" t="s">
        <v>543</v>
      </c>
      <c r="F126" s="253" t="s">
        <v>544</v>
      </c>
      <c r="G126" s="364">
        <f t="shared" si="4"/>
        <v>0.15</v>
      </c>
    </row>
    <row r="127" spans="1:7">
      <c r="A127" s="252" t="s">
        <v>266</v>
      </c>
      <c r="B127" s="252" t="s">
        <v>480</v>
      </c>
      <c r="C127" s="360" t="s">
        <v>530</v>
      </c>
      <c r="D127" s="360" t="s">
        <v>530</v>
      </c>
      <c r="E127" s="181" t="s">
        <v>545</v>
      </c>
      <c r="F127" s="253" t="s">
        <v>546</v>
      </c>
      <c r="G127" s="364">
        <f t="shared" si="4"/>
        <v>0.15</v>
      </c>
    </row>
    <row r="128" spans="1:7">
      <c r="A128" s="252"/>
      <c r="B128" s="252"/>
      <c r="C128" s="360"/>
      <c r="D128" s="360"/>
      <c r="E128" s="181"/>
      <c r="F128" s="253"/>
    </row>
  </sheetData>
  <sheetProtection password="CEE3" sheet="1" objects="1" scenarios="1"/>
  <sortState ref="A76:G108">
    <sortCondition ref="A76:A108"/>
    <sortCondition ref="D76:D108"/>
    <sortCondition ref="F76:F108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14"/>
  <dimension ref="A1:J31"/>
  <sheetViews>
    <sheetView topLeftCell="A15" zoomScale="90" zoomScaleNormal="90" workbookViewId="0">
      <selection activeCell="F33" sqref="F33"/>
    </sheetView>
  </sheetViews>
  <sheetFormatPr defaultRowHeight="15"/>
  <cols>
    <col min="1" max="1" width="6" customWidth="1"/>
    <col min="2" max="2" width="18.42578125" customWidth="1"/>
    <col min="3" max="3" width="19.28515625" customWidth="1"/>
    <col min="4" max="4" width="20.5703125" customWidth="1"/>
    <col min="5" max="5" width="13.42578125" customWidth="1"/>
    <col min="6" max="6" width="84.5703125" customWidth="1"/>
    <col min="7" max="7" width="9.85546875" customWidth="1"/>
    <col min="8" max="8" width="16.42578125" customWidth="1"/>
    <col min="9" max="9" width="5.85546875" customWidth="1"/>
  </cols>
  <sheetData>
    <row r="1" spans="1:10">
      <c r="A1" s="290">
        <v>1</v>
      </c>
      <c r="B1" s="290">
        <v>2</v>
      </c>
      <c r="C1" s="290">
        <v>3</v>
      </c>
      <c r="D1" s="290">
        <v>4</v>
      </c>
      <c r="E1" s="290">
        <v>5</v>
      </c>
      <c r="F1" s="290">
        <v>6</v>
      </c>
      <c r="G1" s="290">
        <v>7</v>
      </c>
      <c r="H1" s="290">
        <v>8</v>
      </c>
      <c r="I1" s="290">
        <v>9</v>
      </c>
    </row>
    <row r="2" spans="1:10" s="297" customFormat="1" ht="21" customHeight="1">
      <c r="A2" s="325"/>
      <c r="B2" s="326" t="s">
        <v>266</v>
      </c>
      <c r="C2" s="327" t="s">
        <v>258</v>
      </c>
      <c r="D2" s="327"/>
      <c r="E2" s="327" t="s">
        <v>441</v>
      </c>
      <c r="F2" s="328" t="s">
        <v>442</v>
      </c>
      <c r="G2" s="329" t="s">
        <v>257</v>
      </c>
      <c r="H2" s="330" t="s">
        <v>444</v>
      </c>
      <c r="I2" s="313" t="s">
        <v>453</v>
      </c>
    </row>
    <row r="3" spans="1:10" s="297" customFormat="1" ht="21" customHeight="1">
      <c r="A3" s="294">
        <v>1</v>
      </c>
      <c r="B3" s="331" t="s">
        <v>31</v>
      </c>
      <c r="C3" s="319" t="s">
        <v>258</v>
      </c>
      <c r="D3" s="319" t="s">
        <v>449</v>
      </c>
      <c r="E3" s="295" t="s">
        <v>15</v>
      </c>
      <c r="F3" s="323" t="s">
        <v>16</v>
      </c>
      <c r="G3" s="298">
        <f>SUMIF(Цены!B:B,E3,Цены!C:C)</f>
        <v>1.7241784169999994</v>
      </c>
      <c r="H3" s="322" t="s">
        <v>455</v>
      </c>
      <c r="I3" s="291">
        <f>COUNTIF($B$3:$B$35,B3)/2</f>
        <v>2</v>
      </c>
      <c r="J3" s="366"/>
    </row>
    <row r="4" spans="1:10" s="297" customFormat="1" ht="21" customHeight="1">
      <c r="A4" s="294">
        <v>1</v>
      </c>
      <c r="B4" s="332" t="s">
        <v>31</v>
      </c>
      <c r="C4" s="320" t="s">
        <v>443</v>
      </c>
      <c r="D4" s="320" t="s">
        <v>449</v>
      </c>
      <c r="E4" s="296" t="s">
        <v>256</v>
      </c>
      <c r="F4" s="324" t="s">
        <v>49</v>
      </c>
      <c r="G4" s="299">
        <f>SUMIF(Цены!B:B,E4,Цены!C:C)</f>
        <v>0.64867721099999986</v>
      </c>
      <c r="H4" s="322" t="s">
        <v>455</v>
      </c>
      <c r="I4" s="291">
        <f>COUNTIF($B$3:$B$35,B4)/2</f>
        <v>2</v>
      </c>
    </row>
    <row r="5" spans="1:10" s="297" customFormat="1" ht="21" customHeight="1">
      <c r="A5" s="294">
        <v>1</v>
      </c>
      <c r="B5" s="331" t="s">
        <v>31</v>
      </c>
      <c r="C5" s="319" t="s">
        <v>258</v>
      </c>
      <c r="D5" s="319" t="s">
        <v>449</v>
      </c>
      <c r="E5" s="295" t="s">
        <v>445</v>
      </c>
      <c r="F5" s="323" t="s">
        <v>446</v>
      </c>
      <c r="G5" s="298">
        <f>SUMIF(Цены!B:B,E5,Цены!C:C)</f>
        <v>0.6749975829999999</v>
      </c>
      <c r="H5" s="322" t="s">
        <v>452</v>
      </c>
      <c r="I5" s="291">
        <f t="shared" ref="I5:I18" si="0">COUNTIF($B$3:$B$35,B5)/2</f>
        <v>2</v>
      </c>
    </row>
    <row r="6" spans="1:10" s="297" customFormat="1" ht="21" customHeight="1">
      <c r="A6" s="294">
        <v>1</v>
      </c>
      <c r="B6" s="332" t="s">
        <v>31</v>
      </c>
      <c r="C6" s="320" t="s">
        <v>443</v>
      </c>
      <c r="D6" s="320" t="s">
        <v>449</v>
      </c>
      <c r="E6" s="296" t="s">
        <v>447</v>
      </c>
      <c r="F6" s="324" t="s">
        <v>448</v>
      </c>
      <c r="G6" s="299">
        <f>SUMIF(Цены!B:B,E6,Цены!C:C)</f>
        <v>0.13634728899999998</v>
      </c>
      <c r="H6" s="322" t="s">
        <v>452</v>
      </c>
      <c r="I6" s="291">
        <f t="shared" si="0"/>
        <v>2</v>
      </c>
    </row>
    <row r="7" spans="1:10" s="297" customFormat="1" ht="21" customHeight="1">
      <c r="A7" s="294">
        <v>6</v>
      </c>
      <c r="B7" s="333" t="s">
        <v>48</v>
      </c>
      <c r="C7" s="321" t="s">
        <v>258</v>
      </c>
      <c r="D7" s="321" t="s">
        <v>450</v>
      </c>
      <c r="E7" s="295" t="s">
        <v>457</v>
      </c>
      <c r="F7" s="323" t="s">
        <v>458</v>
      </c>
      <c r="G7" s="300">
        <f>SUMIF(Цены!B:B,E7,Цены!C:C)</f>
        <v>2.2770297159999995</v>
      </c>
      <c r="H7" s="322" t="s">
        <v>455</v>
      </c>
      <c r="I7" s="291">
        <f t="shared" si="0"/>
        <v>4</v>
      </c>
    </row>
    <row r="8" spans="1:10" s="297" customFormat="1" ht="21" customHeight="1">
      <c r="A8" s="294">
        <v>6</v>
      </c>
      <c r="B8" s="334" t="s">
        <v>48</v>
      </c>
      <c r="C8" s="318" t="s">
        <v>443</v>
      </c>
      <c r="D8" s="318" t="s">
        <v>450</v>
      </c>
      <c r="E8" s="296" t="s">
        <v>256</v>
      </c>
      <c r="F8" s="324" t="s">
        <v>49</v>
      </c>
      <c r="G8" s="299">
        <f>SUMIF(Цены!B:B,E8,Цены!C:C)</f>
        <v>0.64867721099999986</v>
      </c>
      <c r="H8" s="322" t="s">
        <v>455</v>
      </c>
      <c r="I8" s="291">
        <f t="shared" si="0"/>
        <v>4</v>
      </c>
    </row>
    <row r="9" spans="1:10" s="297" customFormat="1" ht="21" customHeight="1">
      <c r="A9" s="294">
        <v>6</v>
      </c>
      <c r="B9" s="333" t="s">
        <v>48</v>
      </c>
      <c r="C9" s="321" t="s">
        <v>258</v>
      </c>
      <c r="D9" s="321" t="s">
        <v>449</v>
      </c>
      <c r="E9" s="295" t="s">
        <v>459</v>
      </c>
      <c r="F9" s="323" t="s">
        <v>460</v>
      </c>
      <c r="G9" s="300">
        <f>SUMIF(Цены!B:B,E9,Цены!C:C)</f>
        <v>1.2719513819999999</v>
      </c>
      <c r="H9" s="322" t="s">
        <v>455</v>
      </c>
      <c r="I9" s="291">
        <f t="shared" si="0"/>
        <v>4</v>
      </c>
    </row>
    <row r="10" spans="1:10" s="297" customFormat="1" ht="21" customHeight="1">
      <c r="A10" s="294">
        <v>6</v>
      </c>
      <c r="B10" s="334" t="s">
        <v>48</v>
      </c>
      <c r="C10" s="318" t="s">
        <v>443</v>
      </c>
      <c r="D10" s="318" t="s">
        <v>449</v>
      </c>
      <c r="E10" s="296" t="s">
        <v>346</v>
      </c>
      <c r="F10" s="324" t="s">
        <v>49</v>
      </c>
      <c r="G10" s="299">
        <f>SUMIF(Цены!B:B,E10,Цены!C:C)</f>
        <v>0.12422792199999998</v>
      </c>
      <c r="H10" s="322" t="s">
        <v>455</v>
      </c>
      <c r="I10" s="291">
        <f t="shared" si="0"/>
        <v>4</v>
      </c>
    </row>
    <row r="11" spans="1:10" s="297" customFormat="1" ht="21" customHeight="1">
      <c r="A11" s="294">
        <v>6</v>
      </c>
      <c r="B11" s="335" t="s">
        <v>48</v>
      </c>
      <c r="C11" s="321" t="s">
        <v>258</v>
      </c>
      <c r="D11" s="321" t="s">
        <v>450</v>
      </c>
      <c r="E11" s="295" t="s">
        <v>250</v>
      </c>
      <c r="F11" s="323" t="s">
        <v>253</v>
      </c>
      <c r="G11" s="300">
        <f>SUMIF(Цены!B:B,E11,Цены!C:C)</f>
        <v>2.0297558189999996</v>
      </c>
      <c r="H11" s="322" t="s">
        <v>452</v>
      </c>
      <c r="I11" s="291">
        <f t="shared" si="0"/>
        <v>4</v>
      </c>
    </row>
    <row r="12" spans="1:10" s="297" customFormat="1" ht="21" customHeight="1">
      <c r="A12" s="294">
        <v>6</v>
      </c>
      <c r="B12" s="334" t="s">
        <v>48</v>
      </c>
      <c r="C12" s="318" t="s">
        <v>443</v>
      </c>
      <c r="D12" s="318" t="s">
        <v>450</v>
      </c>
      <c r="E12" s="296" t="s">
        <v>251</v>
      </c>
      <c r="F12" s="324" t="s">
        <v>252</v>
      </c>
      <c r="G12" s="299">
        <f>SUMIF(Цены!B:B,E12,Цены!C:C)</f>
        <v>0.23605422099999998</v>
      </c>
      <c r="H12" s="322" t="s">
        <v>452</v>
      </c>
      <c r="I12" s="291">
        <f t="shared" si="0"/>
        <v>4</v>
      </c>
    </row>
    <row r="13" spans="1:10" s="297" customFormat="1" ht="21" customHeight="1">
      <c r="A13" s="294">
        <v>6</v>
      </c>
      <c r="B13" s="335" t="s">
        <v>48</v>
      </c>
      <c r="C13" s="321" t="s">
        <v>258</v>
      </c>
      <c r="D13" s="321" t="s">
        <v>449</v>
      </c>
      <c r="E13" s="295" t="s">
        <v>344</v>
      </c>
      <c r="F13" s="323" t="s">
        <v>345</v>
      </c>
      <c r="G13" s="300">
        <f>SUMIF(Цены!B:B,E13,Цены!C:C)</f>
        <v>0.34669857300000001</v>
      </c>
      <c r="H13" s="322" t="s">
        <v>452</v>
      </c>
      <c r="I13" s="291">
        <f t="shared" si="0"/>
        <v>4</v>
      </c>
    </row>
    <row r="14" spans="1:10" s="297" customFormat="1" ht="21" customHeight="1">
      <c r="A14" s="294">
        <v>6</v>
      </c>
      <c r="B14" s="334" t="s">
        <v>48</v>
      </c>
      <c r="C14" s="318" t="s">
        <v>443</v>
      </c>
      <c r="D14" s="318" t="s">
        <v>449</v>
      </c>
      <c r="E14" s="296" t="s">
        <v>346</v>
      </c>
      <c r="F14" s="324" t="s">
        <v>348</v>
      </c>
      <c r="G14" s="299">
        <f>SUMIF(Цены!B:B,E14,Цены!C:C)</f>
        <v>0.12422792199999998</v>
      </c>
      <c r="H14" s="322" t="s">
        <v>452</v>
      </c>
      <c r="I14" s="291">
        <f t="shared" si="0"/>
        <v>4</v>
      </c>
    </row>
    <row r="15" spans="1:10" s="297" customFormat="1" ht="21" customHeight="1">
      <c r="A15" s="294">
        <v>7</v>
      </c>
      <c r="B15" s="331" t="s">
        <v>40</v>
      </c>
      <c r="C15" s="319" t="s">
        <v>258</v>
      </c>
      <c r="D15" s="319" t="s">
        <v>449</v>
      </c>
      <c r="E15" s="295" t="s">
        <v>459</v>
      </c>
      <c r="F15" s="323" t="s">
        <v>460</v>
      </c>
      <c r="G15" s="300">
        <f>SUMIF(Цены!B:B,E15,Цены!C:C)</f>
        <v>1.2719513819999999</v>
      </c>
      <c r="H15" s="322" t="s">
        <v>455</v>
      </c>
      <c r="I15" s="291">
        <f t="shared" si="0"/>
        <v>2</v>
      </c>
    </row>
    <row r="16" spans="1:10" s="297" customFormat="1" ht="21" customHeight="1">
      <c r="A16" s="294">
        <v>7</v>
      </c>
      <c r="B16" s="332" t="s">
        <v>40</v>
      </c>
      <c r="C16" s="320" t="s">
        <v>443</v>
      </c>
      <c r="D16" s="320" t="s">
        <v>449</v>
      </c>
      <c r="E16" s="296" t="s">
        <v>346</v>
      </c>
      <c r="F16" s="324" t="s">
        <v>49</v>
      </c>
      <c r="G16" s="299">
        <f>SUMIF(Цены!B:B,E16,Цены!C:C)</f>
        <v>0.12422792199999998</v>
      </c>
      <c r="H16" s="322" t="s">
        <v>455</v>
      </c>
      <c r="I16" s="291">
        <f t="shared" si="0"/>
        <v>2</v>
      </c>
    </row>
    <row r="17" spans="1:9" s="297" customFormat="1" ht="21" customHeight="1">
      <c r="A17" s="294"/>
      <c r="B17" s="331" t="s">
        <v>40</v>
      </c>
      <c r="C17" s="319" t="s">
        <v>258</v>
      </c>
      <c r="D17" s="319" t="s">
        <v>449</v>
      </c>
      <c r="E17" s="295" t="s">
        <v>344</v>
      </c>
      <c r="F17" s="323" t="s">
        <v>345</v>
      </c>
      <c r="G17" s="300">
        <f>SUMIF(Цены!B:B,E17,Цены!C:C)</f>
        <v>0.34669857300000001</v>
      </c>
      <c r="H17" s="322" t="s">
        <v>452</v>
      </c>
      <c r="I17" s="291">
        <f t="shared" si="0"/>
        <v>2</v>
      </c>
    </row>
    <row r="18" spans="1:9" s="297" customFormat="1" ht="21" customHeight="1">
      <c r="A18" s="294"/>
      <c r="B18" s="332" t="s">
        <v>40</v>
      </c>
      <c r="C18" s="320" t="s">
        <v>443</v>
      </c>
      <c r="D18" s="320" t="s">
        <v>449</v>
      </c>
      <c r="E18" s="296" t="s">
        <v>346</v>
      </c>
      <c r="F18" s="324" t="s">
        <v>348</v>
      </c>
      <c r="G18" s="299">
        <f>SUMIF(Цены!B:B,E18,Цены!C:C)</f>
        <v>0.12422792199999998</v>
      </c>
      <c r="H18" s="322" t="s">
        <v>452</v>
      </c>
      <c r="I18" s="291">
        <f t="shared" si="0"/>
        <v>2</v>
      </c>
    </row>
    <row r="19" spans="1:9" s="297" customFormat="1" ht="21" customHeight="1">
      <c r="A19" s="294">
        <v>8</v>
      </c>
      <c r="B19" s="335" t="s">
        <v>46</v>
      </c>
      <c r="C19" s="321" t="s">
        <v>258</v>
      </c>
      <c r="D19" s="321" t="s">
        <v>450</v>
      </c>
      <c r="E19" s="295" t="s">
        <v>457</v>
      </c>
      <c r="F19" s="323" t="s">
        <v>458</v>
      </c>
      <c r="G19" s="300">
        <f>SUMIF(Цены!B:B,E19,Цены!C:C)</f>
        <v>2.2770297159999995</v>
      </c>
      <c r="H19" s="322" t="s">
        <v>455</v>
      </c>
      <c r="I19" s="291">
        <f t="shared" ref="I19:I26" si="1">COUNTIF($B$3:$B$35,B19)/2</f>
        <v>4</v>
      </c>
    </row>
    <row r="20" spans="1:9" s="297" customFormat="1" ht="21" customHeight="1">
      <c r="A20" s="294">
        <v>8</v>
      </c>
      <c r="B20" s="334" t="s">
        <v>46</v>
      </c>
      <c r="C20" s="318" t="s">
        <v>443</v>
      </c>
      <c r="D20" s="318" t="s">
        <v>450</v>
      </c>
      <c r="E20" s="296" t="s">
        <v>256</v>
      </c>
      <c r="F20" s="324" t="s">
        <v>49</v>
      </c>
      <c r="G20" s="299">
        <f>SUMIF(Цены!B:B,E20,Цены!C:C)</f>
        <v>0.64867721099999986</v>
      </c>
      <c r="H20" s="322" t="s">
        <v>455</v>
      </c>
      <c r="I20" s="291">
        <f t="shared" si="1"/>
        <v>4</v>
      </c>
    </row>
    <row r="21" spans="1:9" s="297" customFormat="1" ht="21" customHeight="1">
      <c r="A21" s="294">
        <v>8</v>
      </c>
      <c r="B21" s="335" t="s">
        <v>46</v>
      </c>
      <c r="C21" s="321" t="s">
        <v>258</v>
      </c>
      <c r="D21" s="321" t="s">
        <v>449</v>
      </c>
      <c r="E21" s="295" t="s">
        <v>459</v>
      </c>
      <c r="F21" s="323" t="s">
        <v>460</v>
      </c>
      <c r="G21" s="300">
        <f>SUMIF(Цены!B:B,E21,Цены!C:C)</f>
        <v>1.2719513819999999</v>
      </c>
      <c r="H21" s="322" t="s">
        <v>455</v>
      </c>
      <c r="I21" s="291">
        <f t="shared" si="1"/>
        <v>4</v>
      </c>
    </row>
    <row r="22" spans="1:9" s="297" customFormat="1" ht="21" customHeight="1">
      <c r="A22" s="294">
        <v>8</v>
      </c>
      <c r="B22" s="334" t="s">
        <v>46</v>
      </c>
      <c r="C22" s="318" t="s">
        <v>443</v>
      </c>
      <c r="D22" s="318" t="s">
        <v>449</v>
      </c>
      <c r="E22" s="296" t="s">
        <v>346</v>
      </c>
      <c r="F22" s="324" t="s">
        <v>49</v>
      </c>
      <c r="G22" s="299">
        <f>SUMIF(Цены!B:B,E22,Цены!C:C)</f>
        <v>0.12422792199999998</v>
      </c>
      <c r="H22" s="322" t="s">
        <v>455</v>
      </c>
      <c r="I22" s="291">
        <f t="shared" si="1"/>
        <v>4</v>
      </c>
    </row>
    <row r="23" spans="1:9" s="297" customFormat="1" ht="21" customHeight="1">
      <c r="A23" s="294">
        <v>8</v>
      </c>
      <c r="B23" s="335" t="s">
        <v>46</v>
      </c>
      <c r="C23" s="321" t="s">
        <v>258</v>
      </c>
      <c r="D23" s="321" t="s">
        <v>450</v>
      </c>
      <c r="E23" s="295" t="s">
        <v>250</v>
      </c>
      <c r="F23" s="323" t="s">
        <v>253</v>
      </c>
      <c r="G23" s="300">
        <f>SUMIF(Цены!B:B,E23,Цены!C:C)</f>
        <v>2.0297558189999996</v>
      </c>
      <c r="H23" s="322" t="s">
        <v>452</v>
      </c>
      <c r="I23" s="291">
        <f t="shared" si="1"/>
        <v>4</v>
      </c>
    </row>
    <row r="24" spans="1:9" s="297" customFormat="1" ht="21" customHeight="1">
      <c r="A24" s="294">
        <v>8</v>
      </c>
      <c r="B24" s="334" t="s">
        <v>46</v>
      </c>
      <c r="C24" s="318" t="s">
        <v>443</v>
      </c>
      <c r="D24" s="318" t="s">
        <v>450</v>
      </c>
      <c r="E24" s="296" t="s">
        <v>251</v>
      </c>
      <c r="F24" s="324" t="s">
        <v>252</v>
      </c>
      <c r="G24" s="299">
        <f>SUMIF(Цены!B:B,E24,Цены!C:C)</f>
        <v>0.23605422099999998</v>
      </c>
      <c r="H24" s="322" t="s">
        <v>452</v>
      </c>
      <c r="I24" s="291">
        <f t="shared" si="1"/>
        <v>4</v>
      </c>
    </row>
    <row r="25" spans="1:9" s="297" customFormat="1" ht="21" customHeight="1">
      <c r="A25" s="294">
        <v>8</v>
      </c>
      <c r="B25" s="335" t="s">
        <v>46</v>
      </c>
      <c r="C25" s="321" t="s">
        <v>258</v>
      </c>
      <c r="D25" s="321" t="s">
        <v>449</v>
      </c>
      <c r="E25" s="295" t="s">
        <v>344</v>
      </c>
      <c r="F25" s="323" t="s">
        <v>345</v>
      </c>
      <c r="G25" s="300">
        <f>SUMIF(Цены!B:B,E25,Цены!C:C)</f>
        <v>0.34669857300000001</v>
      </c>
      <c r="H25" s="322" t="s">
        <v>452</v>
      </c>
      <c r="I25" s="291">
        <f t="shared" si="1"/>
        <v>4</v>
      </c>
    </row>
    <row r="26" spans="1:9" s="297" customFormat="1" ht="21" customHeight="1">
      <c r="A26" s="294">
        <v>8</v>
      </c>
      <c r="B26" s="334" t="s">
        <v>46</v>
      </c>
      <c r="C26" s="318" t="s">
        <v>443</v>
      </c>
      <c r="D26" s="318" t="s">
        <v>449</v>
      </c>
      <c r="E26" s="296" t="s">
        <v>346</v>
      </c>
      <c r="F26" s="324" t="s">
        <v>348</v>
      </c>
      <c r="G26" s="299">
        <f>SUMIF(Цены!B:B,E26,Цены!C:C)</f>
        <v>0.12422792199999998</v>
      </c>
      <c r="H26" s="322" t="s">
        <v>452</v>
      </c>
      <c r="I26" s="291">
        <f t="shared" si="1"/>
        <v>4</v>
      </c>
    </row>
    <row r="28" spans="1:9" ht="15.75">
      <c r="A28" s="294">
        <v>20</v>
      </c>
      <c r="B28" s="335" t="s">
        <v>549</v>
      </c>
      <c r="C28" s="321" t="s">
        <v>258</v>
      </c>
      <c r="D28" s="321" t="s">
        <v>550</v>
      </c>
      <c r="E28" s="390" t="s">
        <v>551</v>
      </c>
      <c r="F28" s="323" t="s">
        <v>552</v>
      </c>
      <c r="G28" s="300">
        <f>SUMIF(Цены!B:B,E28,Цены!C:C)</f>
        <v>2.6883119899999999</v>
      </c>
      <c r="H28" s="322" t="s">
        <v>455</v>
      </c>
      <c r="I28" s="291">
        <f t="shared" ref="I28:I29" si="2">COUNTIF($B$3:$B$35,B28)/2</f>
        <v>2</v>
      </c>
    </row>
    <row r="29" spans="1:9" ht="15.75">
      <c r="A29" s="294">
        <v>20</v>
      </c>
      <c r="B29" s="334" t="s">
        <v>549</v>
      </c>
      <c r="C29" s="318" t="s">
        <v>443</v>
      </c>
      <c r="D29" s="318" t="s">
        <v>550</v>
      </c>
      <c r="E29" s="296" t="s">
        <v>346</v>
      </c>
      <c r="F29" s="324" t="s">
        <v>49</v>
      </c>
      <c r="G29" s="299">
        <f>SUMIF(Цены!B:B,E29,Цены!C:C)</f>
        <v>0.12422792199999998</v>
      </c>
      <c r="H29" s="322" t="s">
        <v>455</v>
      </c>
      <c r="I29" s="291">
        <f t="shared" si="2"/>
        <v>2</v>
      </c>
    </row>
    <row r="30" spans="1:9" ht="15.75">
      <c r="A30" s="294">
        <v>20</v>
      </c>
      <c r="B30" s="331" t="s">
        <v>549</v>
      </c>
      <c r="C30" s="319" t="s">
        <v>258</v>
      </c>
      <c r="D30" s="319" t="s">
        <v>550</v>
      </c>
      <c r="E30" s="390" t="s">
        <v>551</v>
      </c>
      <c r="F30" s="323" t="s">
        <v>552</v>
      </c>
      <c r="G30" s="300"/>
      <c r="H30" s="322" t="s">
        <v>452</v>
      </c>
      <c r="I30" s="291">
        <f t="shared" ref="I30:I31" si="3">COUNTIF($B$3:$B$35,B30)/2</f>
        <v>2</v>
      </c>
    </row>
    <row r="31" spans="1:9" ht="15.75">
      <c r="A31" s="294">
        <v>20</v>
      </c>
      <c r="B31" s="332" t="s">
        <v>549</v>
      </c>
      <c r="C31" s="320" t="s">
        <v>443</v>
      </c>
      <c r="D31" s="320" t="s">
        <v>550</v>
      </c>
      <c r="E31" s="296" t="s">
        <v>346</v>
      </c>
      <c r="F31" s="324" t="s">
        <v>49</v>
      </c>
      <c r="G31" s="299">
        <f>SUMIF(Цены!B:B,E31,Цены!C:C)</f>
        <v>0.12422792199999998</v>
      </c>
      <c r="H31" s="322" t="s">
        <v>452</v>
      </c>
      <c r="I31" s="291">
        <f t="shared" si="3"/>
        <v>2</v>
      </c>
    </row>
  </sheetData>
  <sheetProtection password="CEE3" sheet="1" objects="1" scenarios="1"/>
  <conditionalFormatting sqref="E3">
    <cfRule type="expression" dxfId="27" priority="172">
      <formula>COUNTIF($E$3:$E$28,E3)&gt;1</formula>
    </cfRule>
  </conditionalFormatting>
  <conditionalFormatting sqref="E4">
    <cfRule type="expression" dxfId="26" priority="170">
      <formula>COUNTIF($E$3:$E$28,E4)&gt;1</formula>
    </cfRule>
  </conditionalFormatting>
  <conditionalFormatting sqref="E5">
    <cfRule type="expression" dxfId="25" priority="45">
      <formula>COUNTIF($E$3:$E$28,E5)&gt;1</formula>
    </cfRule>
  </conditionalFormatting>
  <conditionalFormatting sqref="E6">
    <cfRule type="expression" dxfId="24" priority="44">
      <formula>COUNTIF($E$3:$E$28,E6)&gt;1</formula>
    </cfRule>
  </conditionalFormatting>
  <conditionalFormatting sqref="E7">
    <cfRule type="expression" dxfId="23" priority="43">
      <formula>COUNTIF($E$3:$E$28,E7)&gt;1</formula>
    </cfRule>
  </conditionalFormatting>
  <conditionalFormatting sqref="E8">
    <cfRule type="expression" dxfId="22" priority="42">
      <formula>COUNTIF($E$3:$E$28,E8)&gt;1</formula>
    </cfRule>
  </conditionalFormatting>
  <conditionalFormatting sqref="E9">
    <cfRule type="expression" dxfId="21" priority="41">
      <formula>COUNTIF($E$3:$E$28,E9)&gt;1</formula>
    </cfRule>
  </conditionalFormatting>
  <conditionalFormatting sqref="E10">
    <cfRule type="expression" dxfId="20" priority="40">
      <formula>COUNTIF($E$3:$E$28,E10)&gt;1</formula>
    </cfRule>
  </conditionalFormatting>
  <conditionalFormatting sqref="E11">
    <cfRule type="expression" dxfId="19" priority="39">
      <formula>COUNTIF($E$3:$E$28,E11)&gt;1</formula>
    </cfRule>
  </conditionalFormatting>
  <conditionalFormatting sqref="E12">
    <cfRule type="expression" dxfId="18" priority="38">
      <formula>COUNTIF($E$3:$E$28,E12)&gt;1</formula>
    </cfRule>
  </conditionalFormatting>
  <conditionalFormatting sqref="E13">
    <cfRule type="expression" dxfId="17" priority="37">
      <formula>COUNTIF($E$3:$E$28,E13)&gt;1</formula>
    </cfRule>
  </conditionalFormatting>
  <conditionalFormatting sqref="E14">
    <cfRule type="expression" dxfId="16" priority="36">
      <formula>COUNTIF($E$3:$E$28,E14)&gt;1</formula>
    </cfRule>
  </conditionalFormatting>
  <conditionalFormatting sqref="E15">
    <cfRule type="expression" dxfId="15" priority="35">
      <formula>COUNTIF($E$3:$E$28,E15)&gt;1</formula>
    </cfRule>
  </conditionalFormatting>
  <conditionalFormatting sqref="E16">
    <cfRule type="expression" dxfId="14" priority="34">
      <formula>COUNTIF($E$3:$E$28,E16)&gt;1</formula>
    </cfRule>
  </conditionalFormatting>
  <conditionalFormatting sqref="E17">
    <cfRule type="expression" dxfId="13" priority="33">
      <formula>COUNTIF($E$3:$E$28,E17)&gt;1</formula>
    </cfRule>
  </conditionalFormatting>
  <conditionalFormatting sqref="E18">
    <cfRule type="expression" dxfId="12" priority="32">
      <formula>COUNTIF($E$3:$E$28,E18)&gt;1</formula>
    </cfRule>
  </conditionalFormatting>
  <conditionalFormatting sqref="E19">
    <cfRule type="expression" dxfId="11" priority="31">
      <formula>COUNTIF($E$3:$E$28,E19)&gt;1</formula>
    </cfRule>
  </conditionalFormatting>
  <conditionalFormatting sqref="E20">
    <cfRule type="expression" dxfId="10" priority="30">
      <formula>COUNTIF($E$3:$E$28,E20)&gt;1</formula>
    </cfRule>
  </conditionalFormatting>
  <conditionalFormatting sqref="E21">
    <cfRule type="expression" dxfId="9" priority="29">
      <formula>COUNTIF($E$3:$E$28,E21)&gt;1</formula>
    </cfRule>
  </conditionalFormatting>
  <conditionalFormatting sqref="E22">
    <cfRule type="expression" dxfId="8" priority="28">
      <formula>COUNTIF($E$3:$E$28,E22)&gt;1</formula>
    </cfRule>
  </conditionalFormatting>
  <conditionalFormatting sqref="E23">
    <cfRule type="expression" dxfId="7" priority="27">
      <formula>COUNTIF($E$3:$E$28,E23)&gt;1</formula>
    </cfRule>
  </conditionalFormatting>
  <conditionalFormatting sqref="E24">
    <cfRule type="expression" dxfId="6" priority="26">
      <formula>COUNTIF($E$3:$E$28,E24)&gt;1</formula>
    </cfRule>
  </conditionalFormatting>
  <conditionalFormatting sqref="E25">
    <cfRule type="expression" dxfId="5" priority="25">
      <formula>COUNTIF($E$3:$E$28,E25)&gt;1</formula>
    </cfRule>
  </conditionalFormatting>
  <conditionalFormatting sqref="E26">
    <cfRule type="expression" dxfId="4" priority="24">
      <formula>COUNTIF($E$3:$E$28,E26)&gt;1</formula>
    </cfRule>
  </conditionalFormatting>
  <conditionalFormatting sqref="E30">
    <cfRule type="expression" dxfId="3" priority="2">
      <formula>COUNTIF($E$3:$E$28,E30)&gt;1</formula>
    </cfRule>
  </conditionalFormatting>
  <conditionalFormatting sqref="E31">
    <cfRule type="expression" dxfId="2" priority="1">
      <formula>COUNTIF($E$3:$E$28,E31)&gt;1</formula>
    </cfRule>
  </conditionalFormatting>
  <conditionalFormatting sqref="E28">
    <cfRule type="expression" dxfId="1" priority="17">
      <formula>COUNTIF($E$3:$E$28,E28)&gt;1</formula>
    </cfRule>
  </conditionalFormatting>
  <conditionalFormatting sqref="E29">
    <cfRule type="expression" dxfId="0" priority="15">
      <formula>COUNTIF($E$3:$E$28,E29)&gt;1</formula>
    </cfRule>
  </conditionalFormatting>
  <dataValidations count="1">
    <dataValidation type="list" allowBlank="1" showInputMessage="1" showErrorMessage="1" sqref="H3:H26 H28:H31">
      <formula1>ЦСегментСпр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0" id="{6AF92AFD-6FFE-4E6B-8FF0-20D6FA566302}">
            <xm:f>Справ!$I$4=$H3</xm:f>
            <x14:dxf>
              <fill>
                <patternFill>
                  <bgColor theme="2" tint="-9.9948118533890809E-2"/>
                </patternFill>
              </fill>
            </x14:dxf>
          </x14:cfRule>
          <xm:sqref>H3</xm:sqref>
        </x14:conditionalFormatting>
        <x14:conditionalFormatting xmlns:xm="http://schemas.microsoft.com/office/excel/2006/main">
          <x14:cfRule type="expression" priority="117" id="{820C8FF7-4859-4881-85BC-8B11105D46BE}">
            <xm:f>Справ!$I$4=$H9</xm:f>
            <x14:dxf>
              <fill>
                <patternFill>
                  <bgColor theme="2" tint="-9.9948118533890809E-2"/>
                </patternFill>
              </fill>
            </x14:dxf>
          </x14:cfRule>
          <xm:sqref>F9</xm:sqref>
        </x14:conditionalFormatting>
        <x14:conditionalFormatting xmlns:xm="http://schemas.microsoft.com/office/excel/2006/main">
          <x14:cfRule type="expression" priority="124" id="{66690C5B-B3C4-4F34-BB1D-7E90236B8141}">
            <xm:f>Справ!$I$4=$H3</xm:f>
            <x14:dxf>
              <fill>
                <patternFill>
                  <bgColor theme="2" tint="-9.9948118533890809E-2"/>
                </patternFill>
              </fill>
            </x14:dxf>
          </x14:cfRule>
          <xm:sqref>F3</xm:sqref>
        </x14:conditionalFormatting>
        <x14:conditionalFormatting xmlns:xm="http://schemas.microsoft.com/office/excel/2006/main">
          <x14:cfRule type="expression" priority="123" id="{EEDD29AD-B583-4724-9ACE-7CF4BA7D3446}">
            <xm:f>Справ!$I$4=$H4</xm:f>
            <x14:dxf>
              <fill>
                <patternFill>
                  <bgColor theme="2" tint="-9.9948118533890809E-2"/>
                </patternFill>
              </fill>
            </x14:dxf>
          </x14:cfRule>
          <xm:sqref>F4</xm:sqref>
        </x14:conditionalFormatting>
        <x14:conditionalFormatting xmlns:xm="http://schemas.microsoft.com/office/excel/2006/main">
          <x14:cfRule type="expression" priority="121" id="{22C2E643-4001-4522-955B-58515D01C05E}">
            <xm:f>Справ!$I$4=$H5</xm:f>
            <x14:dxf>
              <fill>
                <patternFill>
                  <bgColor theme="2" tint="-9.9948118533890809E-2"/>
                </patternFill>
              </fill>
            </x14:dxf>
          </x14:cfRule>
          <xm:sqref>F5</xm:sqref>
        </x14:conditionalFormatting>
        <x14:conditionalFormatting xmlns:xm="http://schemas.microsoft.com/office/excel/2006/main">
          <x14:cfRule type="expression" priority="120" id="{97615F23-9924-4B49-B8EB-7196E5FA0A87}">
            <xm:f>Справ!$I$4=$H6</xm:f>
            <x14:dxf>
              <fill>
                <patternFill>
                  <bgColor theme="2" tint="-9.9948118533890809E-2"/>
                </patternFill>
              </fill>
            </x14:dxf>
          </x14:cfRule>
          <xm:sqref>F6</xm:sqref>
        </x14:conditionalFormatting>
        <x14:conditionalFormatting xmlns:xm="http://schemas.microsoft.com/office/excel/2006/main">
          <x14:cfRule type="expression" priority="119" id="{57CAD760-EC6E-40C6-842E-FDBBA60A56DB}">
            <xm:f>Справ!$I$4=$H7</xm:f>
            <x14:dxf>
              <fill>
                <patternFill>
                  <bgColor theme="2" tint="-9.9948118533890809E-2"/>
                </patternFill>
              </fill>
            </x14:dxf>
          </x14:cfRule>
          <xm:sqref>F7</xm:sqref>
        </x14:conditionalFormatting>
        <x14:conditionalFormatting xmlns:xm="http://schemas.microsoft.com/office/excel/2006/main">
          <x14:cfRule type="expression" priority="118" id="{C3D26719-775F-4DEF-8194-AC96B017DC24}">
            <xm:f>Справ!$I$4=$H8</xm:f>
            <x14:dxf>
              <fill>
                <patternFill>
                  <bgColor theme="2" tint="-9.9948118533890809E-2"/>
                </patternFill>
              </fill>
            </x14:dxf>
          </x14:cfRule>
          <xm:sqref>F8</xm:sqref>
        </x14:conditionalFormatting>
        <x14:conditionalFormatting xmlns:xm="http://schemas.microsoft.com/office/excel/2006/main">
          <x14:cfRule type="expression" priority="83" id="{3DAC4096-77E8-4D0C-94BB-8548B290A2BA}">
            <xm:f>Справ!$I$4=$H7</xm:f>
            <x14:dxf>
              <fill>
                <patternFill>
                  <bgColor theme="2" tint="-9.9948118533890809E-2"/>
                </patternFill>
              </fill>
            </x14:dxf>
          </x14:cfRule>
          <xm:sqref>H7:H10</xm:sqref>
        </x14:conditionalFormatting>
        <x14:conditionalFormatting xmlns:xm="http://schemas.microsoft.com/office/excel/2006/main">
          <x14:cfRule type="expression" priority="116" id="{AB3C476B-4AC9-40D7-BB89-7F58FB05FD4A}">
            <xm:f>Справ!$I$4=$H10</xm:f>
            <x14:dxf>
              <fill>
                <patternFill>
                  <bgColor theme="2" tint="-9.9948118533890809E-2"/>
                </patternFill>
              </fill>
            </x14:dxf>
          </x14:cfRule>
          <xm:sqref>F10</xm:sqref>
        </x14:conditionalFormatting>
        <x14:conditionalFormatting xmlns:xm="http://schemas.microsoft.com/office/excel/2006/main">
          <x14:cfRule type="expression" priority="115" id="{41B5B2EA-422F-4057-8846-719ECFF77540}">
            <xm:f>Справ!$I$4=$H11</xm:f>
            <x14:dxf>
              <fill>
                <patternFill>
                  <bgColor theme="2" tint="-9.9948118533890809E-2"/>
                </patternFill>
              </fill>
            </x14:dxf>
          </x14:cfRule>
          <xm:sqref>F11</xm:sqref>
        </x14:conditionalFormatting>
        <x14:conditionalFormatting xmlns:xm="http://schemas.microsoft.com/office/excel/2006/main">
          <x14:cfRule type="expression" priority="114" id="{04B2FDBB-BA00-4AD8-9125-421073C25DE5}">
            <xm:f>Справ!$I$4=$H12</xm:f>
            <x14:dxf>
              <fill>
                <patternFill>
                  <bgColor theme="2" tint="-9.9948118533890809E-2"/>
                </patternFill>
              </fill>
            </x14:dxf>
          </x14:cfRule>
          <xm:sqref>F12</xm:sqref>
        </x14:conditionalFormatting>
        <x14:conditionalFormatting xmlns:xm="http://schemas.microsoft.com/office/excel/2006/main">
          <x14:cfRule type="expression" priority="113" id="{AF4D3BF0-6A78-4F3C-9C72-CBCEC2EA071C}">
            <xm:f>Справ!$I$4=$H13</xm:f>
            <x14:dxf>
              <fill>
                <patternFill>
                  <bgColor theme="2" tint="-9.9948118533890809E-2"/>
                </patternFill>
              </fill>
            </x14:dxf>
          </x14:cfRule>
          <xm:sqref>F13</xm:sqref>
        </x14:conditionalFormatting>
        <x14:conditionalFormatting xmlns:xm="http://schemas.microsoft.com/office/excel/2006/main">
          <x14:cfRule type="expression" priority="112" id="{A3EB8D99-C3C3-4D04-89E7-D0801F447C14}">
            <xm:f>Справ!$I$4=$H14</xm:f>
            <x14:dxf>
              <fill>
                <patternFill>
                  <bgColor theme="2" tint="-9.9948118533890809E-2"/>
                </patternFill>
              </fill>
            </x14:dxf>
          </x14:cfRule>
          <xm:sqref>F14</xm:sqref>
        </x14:conditionalFormatting>
        <x14:conditionalFormatting xmlns:xm="http://schemas.microsoft.com/office/excel/2006/main">
          <x14:cfRule type="expression" priority="80" id="{F78F84E0-6E91-4CF5-82C2-103707E67D80}">
            <xm:f>Справ!$I$4=$H15</xm:f>
            <x14:dxf>
              <fill>
                <patternFill>
                  <bgColor theme="2" tint="-9.9948118533890809E-2"/>
                </patternFill>
              </fill>
            </x14:dxf>
          </x14:cfRule>
          <xm:sqref>H15:H16</xm:sqref>
        </x14:conditionalFormatting>
        <x14:conditionalFormatting xmlns:xm="http://schemas.microsoft.com/office/excel/2006/main">
          <x14:cfRule type="expression" priority="81" id="{35B44395-34EA-4EE7-81F2-0FA195433050}">
            <xm:f>Справ!$I$4=$H17</xm:f>
            <x14:dxf>
              <fill>
                <patternFill>
                  <bgColor theme="2" tint="-9.9948118533890809E-2"/>
                </patternFill>
              </fill>
            </x14:dxf>
          </x14:cfRule>
          <xm:sqref>H17:H18</xm:sqref>
        </x14:conditionalFormatting>
        <x14:conditionalFormatting xmlns:xm="http://schemas.microsoft.com/office/excel/2006/main">
          <x14:cfRule type="expression" priority="46" id="{FC7BFE42-7F9A-42C0-A0A3-054735EB89E4}">
            <xm:f>Справ!$I$4=$H26</xm:f>
            <x14:dxf>
              <fill>
                <patternFill>
                  <bgColor theme="2" tint="-9.9948118533890809E-2"/>
                </patternFill>
              </fill>
            </x14:dxf>
          </x14:cfRule>
          <xm:sqref>F26</xm:sqref>
        </x14:conditionalFormatting>
        <x14:conditionalFormatting xmlns:xm="http://schemas.microsoft.com/office/excel/2006/main">
          <x14:cfRule type="expression" priority="92" id="{BA5CBFAF-4962-4D03-A1C1-F0676C45BB48}">
            <xm:f>Справ!$I$4=$H15</xm:f>
            <x14:dxf>
              <fill>
                <patternFill>
                  <bgColor theme="2" tint="-9.9948118533890809E-2"/>
                </patternFill>
              </fill>
            </x14:dxf>
          </x14:cfRule>
          <xm:sqref>F15</xm:sqref>
        </x14:conditionalFormatting>
        <x14:conditionalFormatting xmlns:xm="http://schemas.microsoft.com/office/excel/2006/main">
          <x14:cfRule type="expression" priority="91" id="{B532486D-E968-460E-973E-C0EFD7F39DF1}">
            <xm:f>Справ!$I$4=$H16</xm:f>
            <x14:dxf>
              <fill>
                <patternFill>
                  <bgColor theme="2" tint="-9.9948118533890809E-2"/>
                </patternFill>
              </fill>
            </x14:dxf>
          </x14:cfRule>
          <xm:sqref>F16</xm:sqref>
        </x14:conditionalFormatting>
        <x14:conditionalFormatting xmlns:xm="http://schemas.microsoft.com/office/excel/2006/main">
          <x14:cfRule type="expression" priority="90" id="{02D24A77-4D12-49E0-8EC5-CEFB7697E5DF}">
            <xm:f>Справ!$I$4=$H17</xm:f>
            <x14:dxf>
              <fill>
                <patternFill>
                  <bgColor theme="2" tint="-9.9948118533890809E-2"/>
                </patternFill>
              </fill>
            </x14:dxf>
          </x14:cfRule>
          <xm:sqref>F17</xm:sqref>
        </x14:conditionalFormatting>
        <x14:conditionalFormatting xmlns:xm="http://schemas.microsoft.com/office/excel/2006/main">
          <x14:cfRule type="expression" priority="89" id="{861F7E9C-FED4-4094-A104-DB08AABA2BBE}">
            <xm:f>Справ!$I$4=$H18</xm:f>
            <x14:dxf>
              <fill>
                <patternFill>
                  <bgColor theme="2" tint="-9.9948118533890809E-2"/>
                </patternFill>
              </fill>
            </x14:dxf>
          </x14:cfRule>
          <xm:sqref>F18</xm:sqref>
        </x14:conditionalFormatting>
        <x14:conditionalFormatting xmlns:xm="http://schemas.microsoft.com/office/excel/2006/main">
          <x14:cfRule type="expression" priority="86" id="{3B61E49C-5C47-4D6C-94D7-C664AB8FD9D6}">
            <xm:f>Справ!$I$4=$H4</xm:f>
            <x14:dxf>
              <fill>
                <patternFill>
                  <bgColor theme="2" tint="-9.9948118533890809E-2"/>
                </patternFill>
              </fill>
            </x14:dxf>
          </x14:cfRule>
          <xm:sqref>H4</xm:sqref>
        </x14:conditionalFormatting>
        <x14:conditionalFormatting xmlns:xm="http://schemas.microsoft.com/office/excel/2006/main">
          <x14:cfRule type="expression" priority="52" id="{E06692DB-C782-45BC-86BD-BAE36FC4543A}">
            <xm:f>Справ!$I$4=$H20</xm:f>
            <x14:dxf>
              <fill>
                <patternFill>
                  <bgColor theme="2" tint="-9.9948118533890809E-2"/>
                </patternFill>
              </fill>
            </x14:dxf>
          </x14:cfRule>
          <xm:sqref>F20</xm:sqref>
        </x14:conditionalFormatting>
        <x14:conditionalFormatting xmlns:xm="http://schemas.microsoft.com/office/excel/2006/main">
          <x14:cfRule type="expression" priority="85" id="{62123E3A-6018-457F-9CB1-F40FFDBD1154}">
            <xm:f>Справ!$I$4=$H5</xm:f>
            <x14:dxf>
              <fill>
                <patternFill>
                  <bgColor theme="2" tint="-9.9948118533890809E-2"/>
                </patternFill>
              </fill>
            </x14:dxf>
          </x14:cfRule>
          <xm:sqref>H5</xm:sqref>
        </x14:conditionalFormatting>
        <x14:conditionalFormatting xmlns:xm="http://schemas.microsoft.com/office/excel/2006/main">
          <x14:cfRule type="expression" priority="84" id="{353CDCCC-0943-4C9B-8C9A-46B8017FE57B}">
            <xm:f>Справ!$I$4=$H6</xm:f>
            <x14:dxf>
              <fill>
                <patternFill>
                  <bgColor theme="2" tint="-9.9948118533890809E-2"/>
                </patternFill>
              </fill>
            </x14:dxf>
          </x14:cfRule>
          <xm:sqref>H6</xm:sqref>
        </x14:conditionalFormatting>
        <x14:conditionalFormatting xmlns:xm="http://schemas.microsoft.com/office/excel/2006/main">
          <x14:cfRule type="expression" priority="82" id="{9243420D-9B6C-4521-8CCB-A557E3031EA8}">
            <xm:f>Справ!$I$4=$H11</xm:f>
            <x14:dxf>
              <fill>
                <patternFill>
                  <bgColor theme="2" tint="-9.9948118533890809E-2"/>
                </patternFill>
              </fill>
            </x14:dxf>
          </x14:cfRule>
          <xm:sqref>H11:H14</xm:sqref>
        </x14:conditionalFormatting>
        <x14:conditionalFormatting xmlns:xm="http://schemas.microsoft.com/office/excel/2006/main">
          <x14:cfRule type="expression" priority="47" id="{7475CBCF-3DC9-44CA-BB00-B361DB786A92}">
            <xm:f>Справ!$I$4=$H25</xm:f>
            <x14:dxf>
              <fill>
                <patternFill>
                  <bgColor theme="2" tint="-9.9948118533890809E-2"/>
                </patternFill>
              </fill>
            </x14:dxf>
          </x14:cfRule>
          <xm:sqref>F25</xm:sqref>
        </x14:conditionalFormatting>
        <x14:conditionalFormatting xmlns:xm="http://schemas.microsoft.com/office/excel/2006/main">
          <x14:cfRule type="expression" priority="71" id="{0939EE47-1C1E-451F-B3F7-9934DACB18B2}">
            <xm:f>Справ!$I$4=$H19</xm:f>
            <x14:dxf>
              <fill>
                <patternFill>
                  <bgColor theme="2" tint="-9.9948118533890809E-2"/>
                </patternFill>
              </fill>
            </x14:dxf>
          </x14:cfRule>
          <xm:sqref>H19:H22</xm:sqref>
        </x14:conditionalFormatting>
        <x14:conditionalFormatting xmlns:xm="http://schemas.microsoft.com/office/excel/2006/main">
          <x14:cfRule type="expression" priority="70" id="{7F663718-C288-4339-9724-FC6D9AF86B55}">
            <xm:f>Справ!$I$4=$H23</xm:f>
            <x14:dxf>
              <fill>
                <patternFill>
                  <bgColor theme="2" tint="-9.9948118533890809E-2"/>
                </patternFill>
              </fill>
            </x14:dxf>
          </x14:cfRule>
          <xm:sqref>H23:H26</xm:sqref>
        </x14:conditionalFormatting>
        <x14:conditionalFormatting xmlns:xm="http://schemas.microsoft.com/office/excel/2006/main">
          <x14:cfRule type="expression" priority="51" id="{E6C1989C-6E0C-40D8-94AB-07EFF061EE49}">
            <xm:f>Справ!$I$4=$H21</xm:f>
            <x14:dxf>
              <fill>
                <patternFill>
                  <bgColor theme="2" tint="-9.9948118533890809E-2"/>
                </patternFill>
              </fill>
            </x14:dxf>
          </x14:cfRule>
          <xm:sqref>F21</xm:sqref>
        </x14:conditionalFormatting>
        <x14:conditionalFormatting xmlns:xm="http://schemas.microsoft.com/office/excel/2006/main">
          <x14:cfRule type="expression" priority="53" id="{73CCAF4A-599D-405E-9BFE-FBFBFB7D2AFD}">
            <xm:f>Справ!$I$4=$H19</xm:f>
            <x14:dxf>
              <fill>
                <patternFill>
                  <bgColor theme="2" tint="-9.9948118533890809E-2"/>
                </patternFill>
              </fill>
            </x14:dxf>
          </x14:cfRule>
          <xm:sqref>F19</xm:sqref>
        </x14:conditionalFormatting>
        <x14:conditionalFormatting xmlns:xm="http://schemas.microsoft.com/office/excel/2006/main">
          <x14:cfRule type="expression" priority="50" id="{81F50469-0643-4C11-83A4-94B2D9800943}">
            <xm:f>Справ!$I$4=$H22</xm:f>
            <x14:dxf>
              <fill>
                <patternFill>
                  <bgColor theme="2" tint="-9.9948118533890809E-2"/>
                </patternFill>
              </fill>
            </x14:dxf>
          </x14:cfRule>
          <xm:sqref>F22</xm:sqref>
        </x14:conditionalFormatting>
        <x14:conditionalFormatting xmlns:xm="http://schemas.microsoft.com/office/excel/2006/main">
          <x14:cfRule type="expression" priority="49" id="{8A4FABF9-3383-4D16-9BF0-E5F354AA4407}">
            <xm:f>Справ!$I$4=$H23</xm:f>
            <x14:dxf>
              <fill>
                <patternFill>
                  <bgColor theme="2" tint="-9.9948118533890809E-2"/>
                </patternFill>
              </fill>
            </x14:dxf>
          </x14:cfRule>
          <xm:sqref>F23</xm:sqref>
        </x14:conditionalFormatting>
        <x14:conditionalFormatting xmlns:xm="http://schemas.microsoft.com/office/excel/2006/main">
          <x14:cfRule type="expression" priority="48" id="{D58E8F01-A510-410D-BD89-B1F2002BA9FD}">
            <xm:f>Справ!$I$4=$H24</xm:f>
            <x14:dxf>
              <fill>
                <patternFill>
                  <bgColor theme="2" tint="-9.9948118533890809E-2"/>
                </patternFill>
              </fill>
            </x14:dxf>
          </x14:cfRule>
          <xm:sqref>F24</xm:sqref>
        </x14:conditionalFormatting>
        <x14:conditionalFormatting xmlns:xm="http://schemas.microsoft.com/office/excel/2006/main">
          <x14:cfRule type="expression" priority="7" id="{A4DB6FB7-742A-42C7-9D0E-20C05201C355}">
            <xm:f>Справ!$I$4=$H31</xm:f>
            <x14:dxf>
              <fill>
                <patternFill>
                  <bgColor theme="2" tint="-9.9948118533890809E-2"/>
                </patternFill>
              </fill>
            </x14:dxf>
          </x14:cfRule>
          <xm:sqref>F31</xm:sqref>
        </x14:conditionalFormatting>
        <x14:conditionalFormatting xmlns:xm="http://schemas.microsoft.com/office/excel/2006/main">
          <x14:cfRule type="expression" priority="22" id="{92897EA7-D922-4872-B7EA-72CD4CA3A3B9}">
            <xm:f>Справ!$I$4=$H28</xm:f>
            <x14:dxf>
              <fill>
                <patternFill>
                  <bgColor theme="2" tint="-9.9948118533890809E-2"/>
                </patternFill>
              </fill>
            </x14:dxf>
          </x14:cfRule>
          <xm:sqref>F28</xm:sqref>
        </x14:conditionalFormatting>
        <x14:conditionalFormatting xmlns:xm="http://schemas.microsoft.com/office/excel/2006/main">
          <x14:cfRule type="expression" priority="16" id="{408CDCE0-5E9D-4318-BD99-4CA0ACEE7E24}">
            <xm:f>Справ!$I$4=$H29</xm:f>
            <x14:dxf>
              <fill>
                <patternFill>
                  <bgColor theme="2" tint="-9.9948118533890809E-2"/>
                </patternFill>
              </fill>
            </x14:dxf>
          </x14:cfRule>
          <xm:sqref>F29</xm:sqref>
        </x14:conditionalFormatting>
        <x14:conditionalFormatting xmlns:xm="http://schemas.microsoft.com/office/excel/2006/main">
          <x14:cfRule type="expression" priority="14" id="{58FC0E2F-9A1B-46D9-B878-F0FC4A3F38A8}">
            <xm:f>Справ!$I$4=$H28</xm:f>
            <x14:dxf>
              <fill>
                <patternFill>
                  <bgColor theme="2" tint="-9.9948118533890809E-2"/>
                </patternFill>
              </fill>
            </x14:dxf>
          </x14:cfRule>
          <xm:sqref>H28:H29</xm:sqref>
        </x14:conditionalFormatting>
        <x14:conditionalFormatting xmlns:xm="http://schemas.microsoft.com/office/excel/2006/main">
          <x14:cfRule type="expression" priority="3" id="{F4D996CF-DC3C-4E45-A274-91148A47F417}">
            <xm:f>Справ!$I$4=$H30</xm:f>
            <x14:dxf>
              <fill>
                <patternFill>
                  <bgColor theme="2" tint="-9.9948118533890809E-2"/>
                </patternFill>
              </fill>
            </x14:dxf>
          </x14:cfRule>
          <xm:sqref>H30:H31</xm:sqref>
        </x14:conditionalFormatting>
        <x14:conditionalFormatting xmlns:xm="http://schemas.microsoft.com/office/excel/2006/main">
          <x14:cfRule type="expression" priority="8" id="{4FBE0870-3B97-4009-A776-F65D3ED14376}">
            <xm:f>Справ!$I$4=$H30</xm:f>
            <x14:dxf>
              <fill>
                <patternFill>
                  <bgColor theme="2" tint="-9.9948118533890809E-2"/>
                </patternFill>
              </fill>
            </x14:dxf>
          </x14:cfRule>
          <xm:sqref>F30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12"/>
  <dimension ref="B2:E21"/>
  <sheetViews>
    <sheetView zoomScale="90" zoomScaleNormal="90" workbookViewId="0">
      <selection activeCell="J10" sqref="J10"/>
    </sheetView>
  </sheetViews>
  <sheetFormatPr defaultRowHeight="15"/>
  <cols>
    <col min="2" max="2" width="20.85546875" customWidth="1"/>
    <col min="3" max="3" width="9.7109375" customWidth="1"/>
  </cols>
  <sheetData>
    <row r="2" spans="2:5">
      <c r="B2" s="128"/>
      <c r="C2" s="129" t="s">
        <v>31</v>
      </c>
      <c r="D2" s="128" t="s">
        <v>365</v>
      </c>
    </row>
    <row r="4" spans="2:5">
      <c r="B4" s="127" t="s">
        <v>230</v>
      </c>
      <c r="C4" s="82">
        <f ca="1">VLOOKUP('Free-Серия'!E18,$B$9:$E$21,2,0)*FFDВысота-VLOOKUP('Free-Серия'!E18,$B$9:$E$21,3,0)-$C$6</f>
        <v>140</v>
      </c>
      <c r="D4" s="127" t="s">
        <v>231</v>
      </c>
      <c r="E4" s="82">
        <f ca="1">FFDВысота-$C$4-VLOOKUP('Free-Серия'!E18,$B$9:$E$21,4,0)-$C$6*2+$C$7</f>
        <v>175</v>
      </c>
    </row>
    <row r="5" spans="2:5">
      <c r="B5" s="127" t="s">
        <v>439</v>
      </c>
      <c r="C5" s="82">
        <v>57</v>
      </c>
      <c r="D5" s="127" t="s">
        <v>438</v>
      </c>
      <c r="E5" s="82">
        <f>17+C7</f>
        <v>31</v>
      </c>
    </row>
    <row r="6" spans="2:5">
      <c r="B6" s="9" t="s">
        <v>228</v>
      </c>
      <c r="C6" s="9">
        <v>16</v>
      </c>
      <c r="D6" s="9">
        <v>18</v>
      </c>
      <c r="E6" s="9">
        <v>26</v>
      </c>
    </row>
    <row r="7" spans="2:5">
      <c r="B7" s="9" t="s">
        <v>229</v>
      </c>
      <c r="C7" s="9">
        <f>C6-2</f>
        <v>14</v>
      </c>
      <c r="D7" s="9">
        <f>D6-2</f>
        <v>16</v>
      </c>
      <c r="E7" s="9">
        <f>E6-2</f>
        <v>24</v>
      </c>
    </row>
    <row r="8" spans="2:5">
      <c r="B8" s="9"/>
      <c r="C8" s="139" t="s">
        <v>225</v>
      </c>
      <c r="D8" s="139" t="s">
        <v>226</v>
      </c>
      <c r="E8" s="139" t="s">
        <v>227</v>
      </c>
    </row>
    <row r="9" spans="2:5">
      <c r="B9" s="140" t="str">
        <f>Мех!E5</f>
        <v>372.37.430</v>
      </c>
      <c r="C9" s="145">
        <v>1.2</v>
      </c>
      <c r="D9" s="9">
        <v>589</v>
      </c>
      <c r="E9" s="9">
        <v>377</v>
      </c>
    </row>
    <row r="10" spans="2:5">
      <c r="B10" s="140" t="str">
        <f>Мех!E6</f>
        <v>372.37.432</v>
      </c>
      <c r="C10" s="145">
        <v>1.2</v>
      </c>
      <c r="D10" s="9">
        <v>589</v>
      </c>
      <c r="E10" s="9">
        <v>377</v>
      </c>
    </row>
    <row r="11" spans="2:5">
      <c r="B11" s="140" t="str">
        <f>Мех!E7</f>
        <v>372.37.439</v>
      </c>
      <c r="C11" s="145">
        <v>1.2</v>
      </c>
      <c r="D11" s="9">
        <v>664</v>
      </c>
      <c r="E11" s="9">
        <v>409</v>
      </c>
    </row>
    <row r="12" spans="2:5">
      <c r="B12" s="140" t="str">
        <f>Мех!E8</f>
        <v>372.37.441</v>
      </c>
      <c r="C12" s="145">
        <v>1.2</v>
      </c>
      <c r="D12" s="9">
        <v>664</v>
      </c>
      <c r="E12" s="9">
        <v>409</v>
      </c>
    </row>
    <row r="13" spans="2:5">
      <c r="B13" s="140" t="str">
        <f>Мех!E9</f>
        <v>372.37.450</v>
      </c>
      <c r="C13" s="145">
        <v>1.2</v>
      </c>
      <c r="D13" s="9">
        <v>736</v>
      </c>
      <c r="E13" s="9">
        <v>439</v>
      </c>
    </row>
    <row r="14" spans="2:5">
      <c r="B14" s="140" t="str">
        <f>Мех!E10</f>
        <v>372.37.452</v>
      </c>
      <c r="C14" s="145">
        <v>1.2</v>
      </c>
      <c r="D14" s="9">
        <v>736</v>
      </c>
      <c r="E14" s="9">
        <v>439</v>
      </c>
    </row>
    <row r="15" spans="2:5">
      <c r="B15" s="140" t="str">
        <f>Мех!E11</f>
        <v>372.37.459</v>
      </c>
      <c r="C15" s="145">
        <v>1</v>
      </c>
      <c r="D15" s="9">
        <v>644</v>
      </c>
      <c r="E15" s="9">
        <v>467</v>
      </c>
    </row>
    <row r="16" spans="2:5">
      <c r="B16" s="140" t="str">
        <f>Мех!E12</f>
        <v>372.37.461</v>
      </c>
      <c r="C16" s="145">
        <v>1</v>
      </c>
      <c r="D16" s="9">
        <v>644</v>
      </c>
      <c r="E16" s="9">
        <v>467</v>
      </c>
    </row>
    <row r="17" spans="2:5">
      <c r="B17" s="140" t="str">
        <f>Мех!E13</f>
        <v>372.37.468</v>
      </c>
      <c r="C17" s="145">
        <v>1.2</v>
      </c>
      <c r="D17" s="9">
        <v>882</v>
      </c>
      <c r="E17" s="9">
        <v>501</v>
      </c>
    </row>
    <row r="18" spans="2:5">
      <c r="B18" s="140" t="str">
        <f>Мех!E14</f>
        <v>372.37.470</v>
      </c>
      <c r="C18" s="145">
        <v>1.2</v>
      </c>
      <c r="D18" s="9">
        <v>882</v>
      </c>
      <c r="E18" s="9">
        <v>501</v>
      </c>
    </row>
    <row r="19" spans="2:5">
      <c r="B19" s="140" t="str">
        <f>Мех!E16</f>
        <v>372.37.479</v>
      </c>
      <c r="C19" s="145">
        <v>1.1000000000000001</v>
      </c>
      <c r="D19" s="9">
        <v>865</v>
      </c>
      <c r="E19" s="9">
        <v>533</v>
      </c>
    </row>
    <row r="20" spans="2:5">
      <c r="B20" s="140" t="str">
        <f>Мех!E18</f>
        <v>372.37.488</v>
      </c>
      <c r="C20" s="145">
        <v>1.1000000000000001</v>
      </c>
      <c r="D20" s="9">
        <v>915</v>
      </c>
      <c r="E20" s="9">
        <v>557</v>
      </c>
    </row>
    <row r="21" spans="2:5">
      <c r="B21" s="140" t="str">
        <f>Мех!E19</f>
        <v>372.37.497</v>
      </c>
      <c r="C21" s="145">
        <v>1.1000000000000001</v>
      </c>
      <c r="D21" s="9">
        <v>954</v>
      </c>
      <c r="E21" s="9">
        <v>576</v>
      </c>
    </row>
  </sheetData>
  <sheetProtection password="CEE3" sheet="1" objects="1" scenarios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13"/>
  <dimension ref="A2:AC7"/>
  <sheetViews>
    <sheetView workbookViewId="0">
      <selection activeCell="F6" sqref="F6"/>
    </sheetView>
  </sheetViews>
  <sheetFormatPr defaultColWidth="9.140625" defaultRowHeight="15"/>
  <cols>
    <col min="1" max="1" width="9.140625" style="269"/>
    <col min="2" max="2" width="14.42578125" style="269" customWidth="1"/>
    <col min="3" max="29" width="9.140625" style="269"/>
    <col min="30" max="16384" width="9.140625" style="289"/>
  </cols>
  <sheetData>
    <row r="2" spans="2:3">
      <c r="B2" s="288" t="s">
        <v>440</v>
      </c>
      <c r="C2" s="287"/>
    </row>
    <row r="3" spans="2:3">
      <c r="C3" s="287"/>
    </row>
    <row r="4" spans="2:3">
      <c r="C4" s="287"/>
    </row>
    <row r="5" spans="2:3">
      <c r="C5" s="287"/>
    </row>
    <row r="6" spans="2:3">
      <c r="C6" s="287"/>
    </row>
    <row r="7" spans="2:3">
      <c r="C7" s="287"/>
    </row>
  </sheetData>
  <sheetProtection password="CEE3" sheet="1" objects="1" scenarios="1"/>
  <dataValidations count="1">
    <dataValidation type="list" allowBlank="1" showInputMessage="1" showErrorMessage="1" sqref="C2:C6">
      <formula1>КодДоступа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5"/>
  <dimension ref="B3:D5"/>
  <sheetViews>
    <sheetView workbookViewId="0">
      <selection activeCell="M18" sqref="M18"/>
    </sheetView>
  </sheetViews>
  <sheetFormatPr defaultRowHeight="15"/>
  <cols>
    <col min="2" max="2" width="25" customWidth="1"/>
    <col min="3" max="3" width="33.140625" customWidth="1"/>
  </cols>
  <sheetData>
    <row r="3" spans="2:4">
      <c r="B3" t="s">
        <v>461</v>
      </c>
    </row>
    <row r="4" spans="2:4">
      <c r="B4" t="s">
        <v>465</v>
      </c>
      <c r="C4" t="s">
        <v>464</v>
      </c>
    </row>
    <row r="5" spans="2:4">
      <c r="B5" t="s">
        <v>462</v>
      </c>
      <c r="C5" t="s">
        <v>463</v>
      </c>
      <c r="D5" t="s">
        <v>466</v>
      </c>
    </row>
  </sheetData>
  <sheetProtection password="CEE3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244</vt:i4>
      </vt:variant>
    </vt:vector>
  </HeadingPairs>
  <TitlesOfParts>
    <vt:vector size="250" baseType="lpstr">
      <vt:lpstr>Free-Серия</vt:lpstr>
      <vt:lpstr>FreeFlap</vt:lpstr>
      <vt:lpstr>FreeFlapH1.5</vt:lpstr>
      <vt:lpstr>Курс Евро</vt:lpstr>
      <vt:lpstr>Настройки цен</vt:lpstr>
      <vt:lpstr>Ценообразование</vt:lpstr>
      <vt:lpstr>КВ!_23</vt:lpstr>
      <vt:lpstr>DUO_Standart_Арт_110</vt:lpstr>
      <vt:lpstr>DUO_Standart_Арт_75</vt:lpstr>
      <vt:lpstr>DUO_Standart_Арт_90</vt:lpstr>
      <vt:lpstr>DUO_Standart_Итого_110</vt:lpstr>
      <vt:lpstr>DUO_Standart_Итого_75</vt:lpstr>
      <vt:lpstr>DUO_Standart_Итого_90</vt:lpstr>
      <vt:lpstr>DUO_Standart_Кол_во_110</vt:lpstr>
      <vt:lpstr>DUO_Standart_Кол_во_75</vt:lpstr>
      <vt:lpstr>DUO_Standart_Кол_во_90</vt:lpstr>
      <vt:lpstr>DUO_Standart_Колво_110_1</vt:lpstr>
      <vt:lpstr>DUO_Standart_Колво_110_2</vt:lpstr>
      <vt:lpstr>DUO_Standart_Колво_75_1</vt:lpstr>
      <vt:lpstr>DUO_Standart_Колво_75_2</vt:lpstr>
      <vt:lpstr>DUO_Standart_Колво_90_1</vt:lpstr>
      <vt:lpstr>DUO_Standart_Колво_90_2</vt:lpstr>
      <vt:lpstr>DUOF_Standart_Арт_110</vt:lpstr>
      <vt:lpstr>DUOF_Standart_Арт_75</vt:lpstr>
      <vt:lpstr>DUOF_Standart_Арт_90</vt:lpstr>
      <vt:lpstr>DUOF_Standart_Итого_110</vt:lpstr>
      <vt:lpstr>DUOF_Standart_Итого_75</vt:lpstr>
      <vt:lpstr>DUOF_Standart_Итого_90</vt:lpstr>
      <vt:lpstr>FF17АдаптерАлм</vt:lpstr>
      <vt:lpstr>FF17ОграничительУгла</vt:lpstr>
      <vt:lpstr>FF315АдаптерАлм</vt:lpstr>
      <vt:lpstr>FFD_Арт</vt:lpstr>
      <vt:lpstr>FFD_Колво</vt:lpstr>
      <vt:lpstr>FFDIndex</vt:lpstr>
      <vt:lpstr>FFDKey</vt:lpstr>
      <vt:lpstr>FFD№</vt:lpstr>
      <vt:lpstr>FFDВес</vt:lpstr>
      <vt:lpstr>FFDВеСдо</vt:lpstr>
      <vt:lpstr>FFDВеСот</vt:lpstr>
      <vt:lpstr>FFDВыСдо</vt:lpstr>
      <vt:lpstr>FFDВыСот</vt:lpstr>
      <vt:lpstr>FFDВысота</vt:lpstr>
      <vt:lpstr>FFDМатериал</vt:lpstr>
      <vt:lpstr>FFDмеханизм</vt:lpstr>
      <vt:lpstr>FFDПММ</vt:lpstr>
      <vt:lpstr>FFDТолщина</vt:lpstr>
      <vt:lpstr>FFDЦвет</vt:lpstr>
      <vt:lpstr>FFGШирина</vt:lpstr>
      <vt:lpstr>FFHL15Цвет</vt:lpstr>
      <vt:lpstr>FFL17_PUSH_Тип_Толкателя</vt:lpstr>
      <vt:lpstr>FFL17_PUSH_Толкатель</vt:lpstr>
      <vt:lpstr>FFL17_Арт</vt:lpstr>
      <vt:lpstr>FFL17_Колво</vt:lpstr>
      <vt:lpstr>FFL17Index</vt:lpstr>
      <vt:lpstr>FFL17Key</vt:lpstr>
      <vt:lpstr>FFL17№</vt:lpstr>
      <vt:lpstr>FFL17ВеСдо</vt:lpstr>
      <vt:lpstr>FFL17ВеСот</vt:lpstr>
      <vt:lpstr>FFL17ВыСдо</vt:lpstr>
      <vt:lpstr>FFL17ВыСот</vt:lpstr>
      <vt:lpstr>FFL17механизм</vt:lpstr>
      <vt:lpstr>FFL17Цвет</vt:lpstr>
      <vt:lpstr>FFL315_PUSH_Толкатель</vt:lpstr>
      <vt:lpstr>FFL315_Арт</vt:lpstr>
      <vt:lpstr>FFL315_Колво</vt:lpstr>
      <vt:lpstr>FFL315Index</vt:lpstr>
      <vt:lpstr>FFL315Key</vt:lpstr>
      <vt:lpstr>FFL315№</vt:lpstr>
      <vt:lpstr>FFL315ВеСдо</vt:lpstr>
      <vt:lpstr>FFL315ВеСот</vt:lpstr>
      <vt:lpstr>FFL315ВыСдо</vt:lpstr>
      <vt:lpstr>FFL315ВыСот</vt:lpstr>
      <vt:lpstr>FFL315механизм</vt:lpstr>
      <vt:lpstr>FFL315Цвет</vt:lpstr>
      <vt:lpstr>FFLH15_Арт_110</vt:lpstr>
      <vt:lpstr>FFLH15_Арт_75</vt:lpstr>
      <vt:lpstr>FFLH15_Арт_90</vt:lpstr>
      <vt:lpstr>FFLH15_Итого_110</vt:lpstr>
      <vt:lpstr>FFLH15_Итого_75</vt:lpstr>
      <vt:lpstr>FFLH15_Итого_90</vt:lpstr>
      <vt:lpstr>FFLH15_Кол_во_110</vt:lpstr>
      <vt:lpstr>FFLH15_Кол_во_75</vt:lpstr>
      <vt:lpstr>FFLH15_Кол_во_90</vt:lpstr>
      <vt:lpstr>FFLH15_Колво_110_1</vt:lpstr>
      <vt:lpstr>FFLH15_Колво_110_2</vt:lpstr>
      <vt:lpstr>FFLH15_Колво_75_1</vt:lpstr>
      <vt:lpstr>FFLH15_Колво_75_2</vt:lpstr>
      <vt:lpstr>FFLH15_Колво_90_1</vt:lpstr>
      <vt:lpstr>FFLH15_Колво_90_2</vt:lpstr>
      <vt:lpstr>FFLH15Index110</vt:lpstr>
      <vt:lpstr>FFLH15Index75</vt:lpstr>
      <vt:lpstr>FFLH15Index90</vt:lpstr>
      <vt:lpstr>FFLH15№</vt:lpstr>
      <vt:lpstr>FFLH15Амортизатор</vt:lpstr>
      <vt:lpstr>FFLH15ВеСдо</vt:lpstr>
      <vt:lpstr>FFLH15ВеСдо2</vt:lpstr>
      <vt:lpstr>FFLH15ВеСот</vt:lpstr>
      <vt:lpstr>FFLH15ВеСот2</vt:lpstr>
      <vt:lpstr>FFLH15Винт</vt:lpstr>
      <vt:lpstr>FFLH15ВыСдо</vt:lpstr>
      <vt:lpstr>FFLH15ВыСот</vt:lpstr>
      <vt:lpstr>FFLH15КолвоM</vt:lpstr>
      <vt:lpstr>FFLH15Маркер1</vt:lpstr>
      <vt:lpstr>FFLH15Маркер2</vt:lpstr>
      <vt:lpstr>FFLH15механизм</vt:lpstr>
      <vt:lpstr>FFLH15ПетлиДоводка</vt:lpstr>
      <vt:lpstr>FFLH15ПетлиНетДоводки</vt:lpstr>
      <vt:lpstr>FFLH15Угол</vt:lpstr>
      <vt:lpstr>FFLH15Цвет</vt:lpstr>
      <vt:lpstr>FFP17Вес</vt:lpstr>
      <vt:lpstr>FFP17Высота</vt:lpstr>
      <vt:lpstr>FFP17Материал</vt:lpstr>
      <vt:lpstr>FFP17Толщина</vt:lpstr>
      <vt:lpstr>FFP17Ширина</vt:lpstr>
      <vt:lpstr>FFP315Вес</vt:lpstr>
      <vt:lpstr>FFP315Высота</vt:lpstr>
      <vt:lpstr>FFP315Материал</vt:lpstr>
      <vt:lpstr>FFP315Толщина</vt:lpstr>
      <vt:lpstr>FFP315Ширина</vt:lpstr>
      <vt:lpstr>FFPH15Вес</vt:lpstr>
      <vt:lpstr>FFPH15Высота</vt:lpstr>
      <vt:lpstr>FFPH15Материал</vt:lpstr>
      <vt:lpstr>FFPH15Толщина</vt:lpstr>
      <vt:lpstr>FFPH15Ширина</vt:lpstr>
      <vt:lpstr>FFНастройкиВысота</vt:lpstr>
      <vt:lpstr>FFНастройкиШирина</vt:lpstr>
      <vt:lpstr>FlagYN</vt:lpstr>
      <vt:lpstr>FLL1_PUSH</vt:lpstr>
      <vt:lpstr>FLL17_PUSH</vt:lpstr>
      <vt:lpstr>FLL17_Толкатель</vt:lpstr>
      <vt:lpstr>FLL315_PUSH</vt:lpstr>
      <vt:lpstr>FLL315_Толкатель</vt:lpstr>
      <vt:lpstr>FS_Арт</vt:lpstr>
      <vt:lpstr>FS_Колво</vt:lpstr>
      <vt:lpstr>FSIndex</vt:lpstr>
      <vt:lpstr>FS№</vt:lpstr>
      <vt:lpstr>FSВес</vt:lpstr>
      <vt:lpstr>FSВесKey</vt:lpstr>
      <vt:lpstr>FSВеСдо</vt:lpstr>
      <vt:lpstr>FSВеСот</vt:lpstr>
      <vt:lpstr>FSВыСдо</vt:lpstr>
      <vt:lpstr>FSВыСот</vt:lpstr>
      <vt:lpstr>FSВысота</vt:lpstr>
      <vt:lpstr>FSМатериал</vt:lpstr>
      <vt:lpstr>FSмеханизм</vt:lpstr>
      <vt:lpstr>FSТолщина</vt:lpstr>
      <vt:lpstr>FSЦвет</vt:lpstr>
      <vt:lpstr>FSШирина</vt:lpstr>
      <vt:lpstr>FU_Арт</vt:lpstr>
      <vt:lpstr>FU_Колво</vt:lpstr>
      <vt:lpstr>FUIndex</vt:lpstr>
      <vt:lpstr>FUKey</vt:lpstr>
      <vt:lpstr>FU№</vt:lpstr>
      <vt:lpstr>FUВес</vt:lpstr>
      <vt:lpstr>FUВеСдо</vt:lpstr>
      <vt:lpstr>FUВеСот</vt:lpstr>
      <vt:lpstr>FUВыСдо</vt:lpstr>
      <vt:lpstr>FUВыСот</vt:lpstr>
      <vt:lpstr>FUВысота</vt:lpstr>
      <vt:lpstr>FUМатериал</vt:lpstr>
      <vt:lpstr>FUмеханизм</vt:lpstr>
      <vt:lpstr>FUТолщина</vt:lpstr>
      <vt:lpstr>FUЦвет</vt:lpstr>
      <vt:lpstr>FUШирина</vt:lpstr>
      <vt:lpstr>MAXI_Арт_110</vt:lpstr>
      <vt:lpstr>MAXI_Арт_75</vt:lpstr>
      <vt:lpstr>MAXI_Арт_90</vt:lpstr>
      <vt:lpstr>MAXI_Итого_110</vt:lpstr>
      <vt:lpstr>MAXI_Итого_75</vt:lpstr>
      <vt:lpstr>MAXI_Итого_90</vt:lpstr>
      <vt:lpstr>MAXI_Кол_во_110</vt:lpstr>
      <vt:lpstr>MAXI_Кол_во_75</vt:lpstr>
      <vt:lpstr>MAXI_Кол_во_90</vt:lpstr>
      <vt:lpstr>MAXI_Колво_110_1</vt:lpstr>
      <vt:lpstr>MAXI_Колво_110_2</vt:lpstr>
      <vt:lpstr>MAXI_Колво_75_1</vt:lpstr>
      <vt:lpstr>MAXI_Колво_75_2</vt:lpstr>
      <vt:lpstr>MAXI_Колво_90_1</vt:lpstr>
      <vt:lpstr>MAXI_Колво_90_2</vt:lpstr>
      <vt:lpstr>MX№</vt:lpstr>
      <vt:lpstr>MXВеСдо</vt:lpstr>
      <vt:lpstr>MXВеСдо2</vt:lpstr>
      <vt:lpstr>MXВеСот</vt:lpstr>
      <vt:lpstr>MXВеСот2</vt:lpstr>
      <vt:lpstr>MXВыСдо</vt:lpstr>
      <vt:lpstr>MXВыСот</vt:lpstr>
      <vt:lpstr>MXКолвоM</vt:lpstr>
      <vt:lpstr>MXМаркер1</vt:lpstr>
      <vt:lpstr>MXМаркер2</vt:lpstr>
      <vt:lpstr>MXмеханизм</vt:lpstr>
      <vt:lpstr>NFFD</vt:lpstr>
      <vt:lpstr>NFFH15</vt:lpstr>
      <vt:lpstr>SS_Art</vt:lpstr>
      <vt:lpstr>Алм_ТабФ</vt:lpstr>
      <vt:lpstr>Вариант_Пт</vt:lpstr>
      <vt:lpstr>Вариант_Пт_Номера</vt:lpstr>
      <vt:lpstr>ВысотаФ</vt:lpstr>
      <vt:lpstr>ВысотаФ_DUO</vt:lpstr>
      <vt:lpstr>ВысотаФ_DUOF</vt:lpstr>
      <vt:lpstr>ВысотаФ_FF315</vt:lpstr>
      <vt:lpstr>ВысотаФ_FFH15</vt:lpstr>
      <vt:lpstr>ВысотаФ_FFlap17</vt:lpstr>
      <vt:lpstr>ВысотаФ_FFold</vt:lpstr>
      <vt:lpstr>ВысотаФ_FSwing</vt:lpstr>
      <vt:lpstr>ВысотаФ_FUP</vt:lpstr>
      <vt:lpstr>ВысотаФ_MAXI</vt:lpstr>
      <vt:lpstr>ВысотаФТаб</vt:lpstr>
      <vt:lpstr>ВысотаФТаб_Алм</vt:lpstr>
      <vt:lpstr>ДСП_ТабФ</vt:lpstr>
      <vt:lpstr>ИндексСправ</vt:lpstr>
      <vt:lpstr>КодДоступа</vt:lpstr>
      <vt:lpstr>Корректор</vt:lpstr>
      <vt:lpstr>КУРСЕ</vt:lpstr>
      <vt:lpstr>МатериалФ</vt:lpstr>
      <vt:lpstr>НацПетли</vt:lpstr>
      <vt:lpstr>НСегмент</vt:lpstr>
      <vt:lpstr>НЦР</vt:lpstr>
      <vt:lpstr>обУгол</vt:lpstr>
      <vt:lpstr>РасчетВес</vt:lpstr>
      <vt:lpstr>РознНаценка</vt:lpstr>
      <vt:lpstr>СПР_PUSH</vt:lpstr>
      <vt:lpstr>СПР_Толкатель</vt:lpstr>
      <vt:lpstr>СправАссорт</vt:lpstr>
      <vt:lpstr>спрУгол</vt:lpstr>
      <vt:lpstr>СпрЦены</vt:lpstr>
      <vt:lpstr>Стекло4</vt:lpstr>
      <vt:lpstr>ТАБ_FL17_Кол_во</vt:lpstr>
      <vt:lpstr>ТАБ_FL315_Толкатель_Врезной</vt:lpstr>
      <vt:lpstr>ТАБ_FL315_Толкатель_Накладной</vt:lpstr>
      <vt:lpstr>Таб_Аксессуары</vt:lpstr>
      <vt:lpstr>Таб_Аксессуары_Наценка</vt:lpstr>
      <vt:lpstr>Таб_МножФ</vt:lpstr>
      <vt:lpstr>Таб_ПМ</vt:lpstr>
      <vt:lpstr>Таб_ПМ_Наценка</vt:lpstr>
      <vt:lpstr>ТАБ_Толкатель_Врезной</vt:lpstr>
      <vt:lpstr>ТАБ_Толкатель_Накладной</vt:lpstr>
      <vt:lpstr>ТабМДФ</vt:lpstr>
      <vt:lpstr>ТИП_Сопряженной</vt:lpstr>
      <vt:lpstr>ТолщинаФ</vt:lpstr>
      <vt:lpstr>ФлагЦеныПрайса</vt:lpstr>
      <vt:lpstr>фСправТовар</vt:lpstr>
      <vt:lpstr>фСправТоварFFH15</vt:lpstr>
      <vt:lpstr>фСправТоварFFL</vt:lpstr>
      <vt:lpstr>ЦветМП</vt:lpstr>
      <vt:lpstr>ЦеныПрайса</vt:lpstr>
      <vt:lpstr>ЦСегмент</vt:lpstr>
      <vt:lpstr>ЦСегментСпр</vt:lpstr>
      <vt:lpstr>ШиринаФ</vt:lpstr>
      <vt:lpstr>ШиринаФТаб</vt:lpstr>
      <vt:lpstr>ШиринаФТаб_Алм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Менеджер</cp:lastModifiedBy>
  <cp:lastPrinted>2018-03-30T12:53:07Z</cp:lastPrinted>
  <dcterms:created xsi:type="dcterms:W3CDTF">2018-03-15T07:30:07Z</dcterms:created>
  <dcterms:modified xsi:type="dcterms:W3CDTF">2022-06-08T07:38:48Z</dcterms:modified>
</cp:coreProperties>
</file>